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9185" windowHeight="5970" tabRatio="745" activeTab="0"/>
  </bookViews>
  <sheets>
    <sheet name="Сад 02.08." sheetId="1" r:id="rId1"/>
    <sheet name="Ландшафт 03.07." sheetId="2" r:id="rId2"/>
    <sheet name="Стройка 23.07." sheetId="3" r:id="rId3"/>
    <sheet name="Ленты 23.07." sheetId="4" r:id="rId4"/>
    <sheet name="Дороги 03.07." sheetId="5" r:id="rId5"/>
    <sheet name="Георешетки 23.07." sheetId="6" r:id="rId6"/>
  </sheets>
  <definedNames>
    <definedName name="_xlnm.Print_Titles" localSheetId="3">'Ленты 23.07.'!$1:$4</definedName>
    <definedName name="_xlnm.Print_Titles" localSheetId="0">'Сад 02.08.'!$1:$3</definedName>
    <definedName name="_xlnm.Print_Area" localSheetId="3">'Ленты 23.07.'!$A$1:$L$215</definedName>
  </definedNames>
  <calcPr fullCalcOnLoad="1"/>
</workbook>
</file>

<file path=xl/sharedStrings.xml><?xml version="1.0" encoding="utf-8"?>
<sst xmlns="http://schemas.openxmlformats.org/spreadsheetml/2006/main" count="3162" uniqueCount="1242">
  <si>
    <t>Артикул</t>
  </si>
  <si>
    <t>Наименование</t>
  </si>
  <si>
    <t>руб/рул.</t>
  </si>
  <si>
    <t>/</t>
  </si>
  <si>
    <t>руб/кв.м.</t>
  </si>
  <si>
    <t>Декоративный забор 1.2</t>
  </si>
  <si>
    <t>Заборная решетка 1.2</t>
  </si>
  <si>
    <t>Заборная решетка 1.5</t>
  </si>
  <si>
    <t>Заборная решетка 1.9</t>
  </si>
  <si>
    <t>Пластиковые сетки и решетки для дома и сада</t>
  </si>
  <si>
    <t>руб./уп.</t>
  </si>
  <si>
    <t>руб./шт.</t>
  </si>
  <si>
    <t>Сетка шпалерная</t>
  </si>
  <si>
    <t>Садовая решетка 50*50 20 м.</t>
  </si>
  <si>
    <t>Садовая решетка 83*83 20 м.</t>
  </si>
  <si>
    <t>Садовая решетка 50*50  10 м.</t>
  </si>
  <si>
    <t>"Газон-1"</t>
  </si>
  <si>
    <t>Заборная решетка  2.0</t>
  </si>
  <si>
    <t>Пластиковые сетки для строительства</t>
  </si>
  <si>
    <t>Размер ячейки, мм</t>
  </si>
  <si>
    <t>Размер рулона,              м</t>
  </si>
  <si>
    <t>1*50</t>
  </si>
  <si>
    <t>2*100</t>
  </si>
  <si>
    <t>22*35</t>
  </si>
  <si>
    <t>Размер рулона, м</t>
  </si>
  <si>
    <t>2*30</t>
  </si>
  <si>
    <t>6*8</t>
  </si>
  <si>
    <t>32*32</t>
  </si>
  <si>
    <t>10*10</t>
  </si>
  <si>
    <t>2 * 30</t>
  </si>
  <si>
    <t>Размер ячейки, мм  (д*ш*в)</t>
  </si>
  <si>
    <t>210*210*50</t>
  </si>
  <si>
    <t>8*6</t>
  </si>
  <si>
    <t>15*15</t>
  </si>
  <si>
    <t>50*50</t>
  </si>
  <si>
    <t>1 * 10</t>
  </si>
  <si>
    <t>1 * 20</t>
  </si>
  <si>
    <t>83*83</t>
  </si>
  <si>
    <t>18*18</t>
  </si>
  <si>
    <t>1,2 * 20</t>
  </si>
  <si>
    <t>55*58</t>
  </si>
  <si>
    <t>1,2 * 25</t>
  </si>
  <si>
    <t>70*58</t>
  </si>
  <si>
    <t>1,5 * 25</t>
  </si>
  <si>
    <t>1,9 * 25</t>
  </si>
  <si>
    <t>100 шт./уп.</t>
  </si>
  <si>
    <t>2*2</t>
  </si>
  <si>
    <t>1*30</t>
  </si>
  <si>
    <t>Стеклосетки для строительства</t>
  </si>
  <si>
    <t>Наименование сетки</t>
  </si>
  <si>
    <t xml:space="preserve"> руб/рулон</t>
  </si>
  <si>
    <t>руб/кв.м</t>
  </si>
  <si>
    <t>1*20</t>
  </si>
  <si>
    <t>5*5</t>
  </si>
  <si>
    <t>Сетка штукатурная  усиленная    145 гр.</t>
  </si>
  <si>
    <t>Сетка штукатурная  усиленная    160 гр.</t>
  </si>
  <si>
    <t>45*90</t>
  </si>
  <si>
    <t>Упаковка</t>
  </si>
  <si>
    <t>рулон</t>
  </si>
  <si>
    <t>2*10</t>
  </si>
  <si>
    <t>2*5</t>
  </si>
  <si>
    <t>Размер модуля в растянутом состоянии</t>
  </si>
  <si>
    <t>6*6</t>
  </si>
  <si>
    <t>13*15</t>
  </si>
  <si>
    <t>Сетка кладочная</t>
  </si>
  <si>
    <t>150*170</t>
  </si>
  <si>
    <t>0,5*100</t>
  </si>
  <si>
    <t>0,05*45</t>
  </si>
  <si>
    <t>2,8*2,8</t>
  </si>
  <si>
    <t>Лента стеклотканая самоклеющаяся 65 гр.</t>
  </si>
  <si>
    <t>4 рулона в коробке</t>
  </si>
  <si>
    <t>54 рулона в коробке</t>
  </si>
  <si>
    <t>35*40</t>
  </si>
  <si>
    <t>20 упаковок в коробе</t>
  </si>
  <si>
    <t>15 упаковок в коробе</t>
  </si>
  <si>
    <t>Цвет</t>
  </si>
  <si>
    <t>Черный</t>
  </si>
  <si>
    <t>Зеленый</t>
  </si>
  <si>
    <t>Зеленый, хаки</t>
  </si>
  <si>
    <t>Хаки</t>
  </si>
  <si>
    <t>1 * 5</t>
  </si>
  <si>
    <t>Садовая решетка 15*15   5м.</t>
  </si>
  <si>
    <t>Садовая решетка 15*15   10м.</t>
  </si>
  <si>
    <t>Садовая решетка 50*50 5 м.</t>
  </si>
  <si>
    <t>"Газон-2"  15 м.</t>
  </si>
  <si>
    <t>"Газон-2" 30 м.</t>
  </si>
  <si>
    <t>2 * 15</t>
  </si>
  <si>
    <t>1,2 * 10</t>
  </si>
  <si>
    <t>1,5 * 10</t>
  </si>
  <si>
    <t>1,9 * 10</t>
  </si>
  <si>
    <t>1*5</t>
  </si>
  <si>
    <t>Сетка от птиц, 2*10 м</t>
  </si>
  <si>
    <t>1*10</t>
  </si>
  <si>
    <t>20*20</t>
  </si>
  <si>
    <t>Садовая решетка 20*20   20м.</t>
  </si>
  <si>
    <t>45*50</t>
  </si>
  <si>
    <t>Садовая решетка 10*10   10м.</t>
  </si>
  <si>
    <t>Садовая решетка 10*10    20м.</t>
  </si>
  <si>
    <t>Садовая решетка 10*10   5м.</t>
  </si>
  <si>
    <t>Садовая решетка 45*50  5 м.</t>
  </si>
  <si>
    <t>Садовая решетка  45*50  10 м.</t>
  </si>
  <si>
    <t>Садовая решетка 45*50  20 м.</t>
  </si>
  <si>
    <t>толщина, мм</t>
  </si>
  <si>
    <t>руб/п.м.</t>
  </si>
  <si>
    <t>Б-10/10</t>
  </si>
  <si>
    <t>Лента бордюрная</t>
  </si>
  <si>
    <t>1,2 плоская</t>
  </si>
  <si>
    <t>0,10*10</t>
  </si>
  <si>
    <t>Черный, хаки, коричневый</t>
  </si>
  <si>
    <t>4 рулона в упаковке</t>
  </si>
  <si>
    <t>Б-10/30</t>
  </si>
  <si>
    <t>0,10*30</t>
  </si>
  <si>
    <t>Б-10/50</t>
  </si>
  <si>
    <t>0,10*50</t>
  </si>
  <si>
    <t>Б-15/10</t>
  </si>
  <si>
    <t>0,15*10</t>
  </si>
  <si>
    <t>Б-15/30</t>
  </si>
  <si>
    <t>0,15*30</t>
  </si>
  <si>
    <t>Б-15/50</t>
  </si>
  <si>
    <t>0,15*50</t>
  </si>
  <si>
    <t>Б-20/10</t>
  </si>
  <si>
    <t>0,20*10</t>
  </si>
  <si>
    <t>Б-20/30</t>
  </si>
  <si>
    <t>0,20*30</t>
  </si>
  <si>
    <t>Б-20/50</t>
  </si>
  <si>
    <t>0,20*50</t>
  </si>
  <si>
    <t>Бордюрная лента</t>
  </si>
  <si>
    <t>рулон (в пленке)</t>
  </si>
  <si>
    <t>7*7</t>
  </si>
  <si>
    <t>1,63*30</t>
  </si>
  <si>
    <t>Зеленый, хаки, синий</t>
  </si>
  <si>
    <t>2 рулона в упаковке</t>
  </si>
  <si>
    <t>1  рулон в упаковке</t>
  </si>
  <si>
    <t>Б-20/8</t>
  </si>
  <si>
    <t>0,20*8</t>
  </si>
  <si>
    <t>2*25</t>
  </si>
  <si>
    <t>2*50</t>
  </si>
  <si>
    <t>4*25</t>
  </si>
  <si>
    <t>Белый</t>
  </si>
  <si>
    <t>Зеленый, хаки, коричн., беж</t>
  </si>
  <si>
    <t>Зеленый, хаки, коричн, беж</t>
  </si>
  <si>
    <t>Ширина рулона, м</t>
  </si>
  <si>
    <r>
      <t>руб/м</t>
    </r>
    <r>
      <rPr>
        <b/>
        <vertAlign val="superscript"/>
        <sz val="12"/>
        <rFont val="Arial"/>
        <family val="2"/>
      </rPr>
      <t>2</t>
    </r>
  </si>
  <si>
    <t>0,8*10</t>
  </si>
  <si>
    <t>Длина рулона, м</t>
  </si>
  <si>
    <t>рулон в пленке</t>
  </si>
  <si>
    <t>Решетчатый настил</t>
  </si>
  <si>
    <t>10*40</t>
  </si>
  <si>
    <t>5 матов в упаковке</t>
  </si>
  <si>
    <t>1*1</t>
  </si>
  <si>
    <t>Б-30/10</t>
  </si>
  <si>
    <t>Б-30/30</t>
  </si>
  <si>
    <t>Б-30/50</t>
  </si>
  <si>
    <t>Б-50/10</t>
  </si>
  <si>
    <t>0,30*10</t>
  </si>
  <si>
    <t>0,30*30</t>
  </si>
  <si>
    <t>0,30*50</t>
  </si>
  <si>
    <t>Геоматериалы для ландшафтных  работ</t>
  </si>
  <si>
    <t>Объемные георешетки</t>
  </si>
  <si>
    <t>Георешетка полимерная</t>
  </si>
  <si>
    <t>черный</t>
  </si>
  <si>
    <t>модуль в пленке</t>
  </si>
  <si>
    <t>Полотно нетканое иглопробивное   (полиэфир)</t>
  </si>
  <si>
    <t>ГТЛ 100/160/30</t>
  </si>
  <si>
    <t>ГТЛ 150/160/30</t>
  </si>
  <si>
    <t>ГТЛ 200/160/30</t>
  </si>
  <si>
    <t>ГТЛ 250/160/30</t>
  </si>
  <si>
    <t>ГТЛ 300/160/30</t>
  </si>
  <si>
    <t>Садовая решетка 35*40  5 м.</t>
  </si>
  <si>
    <t>Садовая решетка  35*40  10 м.</t>
  </si>
  <si>
    <t>Садовая решетка 35*40  20 м.</t>
  </si>
  <si>
    <t>0,5*5</t>
  </si>
  <si>
    <t>0,5* 10</t>
  </si>
  <si>
    <t>0,5 * 20</t>
  </si>
  <si>
    <t>Садовая  решетка 18*18 15 м.</t>
  </si>
  <si>
    <t>0,50*10</t>
  </si>
  <si>
    <t>210*210*90</t>
  </si>
  <si>
    <t>210*210*130</t>
  </si>
  <si>
    <t>Оранжевый</t>
  </si>
  <si>
    <t>Геосетка  "Д-6"</t>
  </si>
  <si>
    <t>Геосетка "Д-7"</t>
  </si>
  <si>
    <t>Геосетка "Дренаж"</t>
  </si>
  <si>
    <t>Общестроительная сетка (ОСС)</t>
  </si>
  <si>
    <t>Общестроительная сетка  (ОСС)</t>
  </si>
  <si>
    <t>Универсал M</t>
  </si>
  <si>
    <t>Универсал L</t>
  </si>
  <si>
    <t>Аварийное ограждение 45*90 50 м. п/п</t>
  </si>
  <si>
    <t>Аварийное ограждение 50*50 20 м. п/э</t>
  </si>
  <si>
    <t>Сетка от птиц, 2*5м</t>
  </si>
  <si>
    <t>10 упаковок в коробе</t>
  </si>
  <si>
    <t>7 упаковок в коробе</t>
  </si>
  <si>
    <t>Садовая решетка 15*15   20м.</t>
  </si>
  <si>
    <t>40*45</t>
  </si>
  <si>
    <t>Аварийное ограждение 40*45 25 м.п/п</t>
  </si>
  <si>
    <t>1,5*25</t>
  </si>
  <si>
    <t>рулон (ширина 1 м.)</t>
  </si>
  <si>
    <t>4*100</t>
  </si>
  <si>
    <t>1*25</t>
  </si>
  <si>
    <t>ГТЛ 100/100/30</t>
  </si>
  <si>
    <t>ГТЛ 150/100/30</t>
  </si>
  <si>
    <t>ГТЛ 200/100/30</t>
  </si>
  <si>
    <t>светло-коричневый</t>
  </si>
  <si>
    <t>модуль  в пленке</t>
  </si>
  <si>
    <t>Стеклосетка малярная          45 гр.</t>
  </si>
  <si>
    <t>8 рулонов в коробке</t>
  </si>
  <si>
    <t>6 рулонов в коробке</t>
  </si>
  <si>
    <t>площадь</t>
  </si>
  <si>
    <t>Стеклосетка штукатурная          60 гр.</t>
  </si>
  <si>
    <t>Желтый</t>
  </si>
  <si>
    <t>Сетка для защиты саженцев     с хомутами</t>
  </si>
  <si>
    <t>0,8*5</t>
  </si>
  <si>
    <t>Черный, белый</t>
  </si>
  <si>
    <t>Упаковочные сетки</t>
  </si>
  <si>
    <t>Сетка-мешок с завязками</t>
  </si>
  <si>
    <t>50*80</t>
  </si>
  <si>
    <t>Размер, см</t>
  </si>
  <si>
    <t>упаковка</t>
  </si>
  <si>
    <t>30*47</t>
  </si>
  <si>
    <t>Сетка-рукав фасовочная</t>
  </si>
  <si>
    <t>бобина 500 п.м.</t>
  </si>
  <si>
    <t>руб./п.м.</t>
  </si>
  <si>
    <t xml:space="preserve"> макс.диам. 35-40</t>
  </si>
  <si>
    <t>Черный, хаки</t>
  </si>
  <si>
    <t>C-6/1/30</t>
  </si>
  <si>
    <t>Сетка штукатурная</t>
  </si>
  <si>
    <t>Серый</t>
  </si>
  <si>
    <t>C-13/1/30</t>
  </si>
  <si>
    <t>33*33</t>
  </si>
  <si>
    <t>ДМ-10/1/30</t>
  </si>
  <si>
    <t>С-35/2/10</t>
  </si>
  <si>
    <t>С-35/2/25</t>
  </si>
  <si>
    <t>С-35/2/50</t>
  </si>
  <si>
    <t>С-35/4/25</t>
  </si>
  <si>
    <t>Универсал S</t>
  </si>
  <si>
    <t>КУ-7/0,4/5</t>
  </si>
  <si>
    <t>КУ-7/0,4/10</t>
  </si>
  <si>
    <t>КУ-7/0,6/5</t>
  </si>
  <si>
    <t>КУ-7/0,6/10</t>
  </si>
  <si>
    <t>КУ-7/0,8/5</t>
  </si>
  <si>
    <t>КУ-7/0,8/10</t>
  </si>
  <si>
    <t>КУ-7/1/5</t>
  </si>
  <si>
    <t>КУ-7/1/10</t>
  </si>
  <si>
    <t>Каркасное укрытие</t>
  </si>
  <si>
    <t>0,4*5</t>
  </si>
  <si>
    <t>0,4*10</t>
  </si>
  <si>
    <t>0,6*5</t>
  </si>
  <si>
    <t>0,6*10</t>
  </si>
  <si>
    <t>рулон с креплениями       (в пленке)</t>
  </si>
  <si>
    <t>Геосетка ОСС-тротуарная</t>
  </si>
  <si>
    <t>Т-33/1/25</t>
  </si>
  <si>
    <t>Т-33/1/10</t>
  </si>
  <si>
    <t>Т-40/2/30</t>
  </si>
  <si>
    <t>Ф-13/1/10</t>
  </si>
  <si>
    <t>Ф-13/1/20</t>
  </si>
  <si>
    <t>Ф-13/1/50</t>
  </si>
  <si>
    <t>Сетка для птичников</t>
  </si>
  <si>
    <t>Зеленый, черный</t>
  </si>
  <si>
    <t>Лента бордюрная с кромкой</t>
  </si>
  <si>
    <t>Г-8/2/30</t>
  </si>
  <si>
    <t>Г-32/2/15</t>
  </si>
  <si>
    <t>Г-32/2/30</t>
  </si>
  <si>
    <t>Н-40/1/1</t>
  </si>
  <si>
    <t>Ф-10/1/5</t>
  </si>
  <si>
    <t>Ф-10/1/10</t>
  </si>
  <si>
    <t>Ф-10/1/20</t>
  </si>
  <si>
    <t>Ф-15/1/5</t>
  </si>
  <si>
    <t>Ф-15/1/10</t>
  </si>
  <si>
    <t>Ф-15/1/20</t>
  </si>
  <si>
    <t>Ф-20/1/20</t>
  </si>
  <si>
    <t>Ф-35/0,5/5</t>
  </si>
  <si>
    <t>Ф-35/0,5/10</t>
  </si>
  <si>
    <t>Ф-35/0,5/20</t>
  </si>
  <si>
    <t>Ф-45/1/5</t>
  </si>
  <si>
    <t>Ф-45/1/10</t>
  </si>
  <si>
    <t>Ф-45/1/20</t>
  </si>
  <si>
    <t>Ф-50/1/5</t>
  </si>
  <si>
    <t>Ф-50/1/10</t>
  </si>
  <si>
    <t>Ф-50/1/20</t>
  </si>
  <si>
    <t>Ф-83/1/20</t>
  </si>
  <si>
    <t>Ф-18/1,6/15</t>
  </si>
  <si>
    <t>Ф-18/1,6/30</t>
  </si>
  <si>
    <t>Садовая  решетка 18*18 30 м.</t>
  </si>
  <si>
    <t>У-6/2/5</t>
  </si>
  <si>
    <t>У-6/2/10</t>
  </si>
  <si>
    <t>Ф-170/2/5</t>
  </si>
  <si>
    <t>Ф-170/2/10</t>
  </si>
  <si>
    <t>З-50/1,2/20</t>
  </si>
  <si>
    <t>З-55/1,2/10</t>
  </si>
  <si>
    <t>З-55/1,2/25</t>
  </si>
  <si>
    <t>З-70/1,5/10</t>
  </si>
  <si>
    <t>З-70/1,5/25</t>
  </si>
  <si>
    <t>З-55/1,9/10</t>
  </si>
  <si>
    <t>З-55/1,9/25</t>
  </si>
  <si>
    <t>З-32/2/15</t>
  </si>
  <si>
    <t>З-32/2/30</t>
  </si>
  <si>
    <t>З-10/2/30</t>
  </si>
  <si>
    <t>Ф-7/0,8/5 К</t>
  </si>
  <si>
    <t>Ф-7//0,8/10 К</t>
  </si>
  <si>
    <t>Ф-8/1/5 К</t>
  </si>
  <si>
    <t>Ф-8/1/10 К</t>
  </si>
  <si>
    <t>руб./мод.</t>
  </si>
  <si>
    <t>А-50/1/20</t>
  </si>
  <si>
    <t>А-90/1/50</t>
  </si>
  <si>
    <t>А-40/1,5/25</t>
  </si>
  <si>
    <t>А-40/2/25</t>
  </si>
  <si>
    <t>С-5/0,5/100</t>
  </si>
  <si>
    <t>Д-6/2/30</t>
  </si>
  <si>
    <t>Д-7/1,6/30</t>
  </si>
  <si>
    <t>У-6/2/100</t>
  </si>
  <si>
    <t>У-13/2/100</t>
  </si>
  <si>
    <t>У-22/2/100</t>
  </si>
  <si>
    <t>1,6 * 15</t>
  </si>
  <si>
    <t>1,6 * 30</t>
  </si>
  <si>
    <t>Размер, мм</t>
  </si>
  <si>
    <t>Х 4-200</t>
  </si>
  <si>
    <t>Хомут пластиковый</t>
  </si>
  <si>
    <t>4*200</t>
  </si>
  <si>
    <t>Х 8-400</t>
  </si>
  <si>
    <t>8*400</t>
  </si>
  <si>
    <t>К-295</t>
  </si>
  <si>
    <t>Колышек садовый пластик.</t>
  </si>
  <si>
    <t>Коричневый, хаки, черный</t>
  </si>
  <si>
    <t>6 шт./уп.</t>
  </si>
  <si>
    <t>Анкер металлический окраш.</t>
  </si>
  <si>
    <t>ø 6 мм</t>
  </si>
  <si>
    <t>Крепления</t>
  </si>
  <si>
    <t xml:space="preserve">Геосетки двуосноориентированные </t>
  </si>
  <si>
    <t>(полипропилен)</t>
  </si>
  <si>
    <t>Геосетка дорожная "ОСС -Д 40"</t>
  </si>
  <si>
    <t>Д-33/3/50</t>
  </si>
  <si>
    <t>Геосетка дорожная ОСС -Д 33"</t>
  </si>
  <si>
    <t>3*50</t>
  </si>
  <si>
    <t>Геосетки неориентированные</t>
  </si>
  <si>
    <t>Георешетки объемные</t>
  </si>
  <si>
    <t>полиэтилен</t>
  </si>
  <si>
    <t>Размер ячейки, мм  (д*ш*в*т)</t>
  </si>
  <si>
    <t>ОР 5 С</t>
  </si>
  <si>
    <t xml:space="preserve">Георешетка полимерная  </t>
  </si>
  <si>
    <t>ОР 10 С</t>
  </si>
  <si>
    <t>ОР 15 С</t>
  </si>
  <si>
    <t>ОР 20 С</t>
  </si>
  <si>
    <t>ОР 5 СО</t>
  </si>
  <si>
    <t>Георешетка полимерная  облегченная</t>
  </si>
  <si>
    <t>ОР 10 СО</t>
  </si>
  <si>
    <t>ОР 15 СО</t>
  </si>
  <si>
    <t>ОР 20 СО</t>
  </si>
  <si>
    <t>По согласованию с потребителем допускается изготовление георешетки других типоразмеров.</t>
  </si>
  <si>
    <t>диаметр</t>
  </si>
  <si>
    <t>Анкер металлический строительный неокрашенный</t>
  </si>
  <si>
    <t>Средства идентификации и защиты подземных коммуникаций</t>
  </si>
  <si>
    <t xml:space="preserve">ЛСС – Лента Сигнальная «Связь» с логотипом «НЕ КОПАТЬ, НИЖЕ КАБЕЛЬ»     </t>
  </si>
  <si>
    <t>Цвет  оранжевый, 300 мкм</t>
  </si>
  <si>
    <t>Размер</t>
  </si>
  <si>
    <t>Ед. изм.</t>
  </si>
  <si>
    <r>
      <t>ЛСС   40</t>
    </r>
    <r>
      <rPr>
        <sz val="11"/>
        <rFont val="Times New Roman"/>
        <family val="1"/>
      </rPr>
      <t xml:space="preserve">   </t>
    </r>
  </si>
  <si>
    <t>250 п.м. х 40   мм.</t>
  </si>
  <si>
    <t>ролик</t>
  </si>
  <si>
    <r>
      <t>ЛСС   50</t>
    </r>
    <r>
      <rPr>
        <sz val="11"/>
        <rFont val="Times New Roman"/>
        <family val="1"/>
      </rPr>
      <t xml:space="preserve">   </t>
    </r>
  </si>
  <si>
    <t>250 п.м. х 50   мм.</t>
  </si>
  <si>
    <r>
      <t>ЛСС   75</t>
    </r>
    <r>
      <rPr>
        <sz val="11"/>
        <rFont val="Times New Roman"/>
        <family val="1"/>
      </rPr>
      <t xml:space="preserve">   </t>
    </r>
  </si>
  <si>
    <t>250 п.м. х 75   мм.</t>
  </si>
  <si>
    <r>
      <t>ЛСС 100</t>
    </r>
    <r>
      <rPr>
        <sz val="11"/>
        <rFont val="Times New Roman"/>
        <family val="1"/>
      </rPr>
      <t xml:space="preserve">   </t>
    </r>
  </si>
  <si>
    <t>250 п.м. х 100 мм.</t>
  </si>
  <si>
    <t>h - 2500мм d -  108мм</t>
  </si>
  <si>
    <t>шт.</t>
  </si>
  <si>
    <t>ЛСЭ – Лента Сигнальная «Электра» с логотипом «ОСТОРОЖНО КАБЕЛЬ»</t>
  </si>
  <si>
    <t>Цвет красный, 300 мкм</t>
  </si>
  <si>
    <t>ЛСЭ 150</t>
  </si>
  <si>
    <t>100 п.м. х 150 мм.</t>
  </si>
  <si>
    <t>ЛСЭ 250</t>
  </si>
  <si>
    <t>100 п.м. х 250 мм.</t>
  </si>
  <si>
    <t>ЛСЭ 300</t>
  </si>
  <si>
    <t>100 п.м. х 300 мм.</t>
  </si>
  <si>
    <t>ЛСЭ 450</t>
  </si>
  <si>
    <t>100 п.м. х 450 мм.</t>
  </si>
  <si>
    <t>ЛСЭ 600</t>
  </si>
  <si>
    <t>100 п.м. х 600 мм.</t>
  </si>
  <si>
    <t>ЛСЭ 750</t>
  </si>
  <si>
    <t>100 п.м. х 750 мм.</t>
  </si>
  <si>
    <t>ЛСЭ 900</t>
  </si>
  <si>
    <t>100 п.м. х 900 мм.</t>
  </si>
  <si>
    <t xml:space="preserve">h - 1200мм </t>
  </si>
  <si>
    <t>ЛСО – Лента Сигнальная «Оптика» с логотипом «Осторожно! Оптический Кабель»</t>
  </si>
  <si>
    <t>Цвет  желтый, 100 мкм</t>
  </si>
  <si>
    <t>ЛСО   40</t>
  </si>
  <si>
    <t>500 п.м. х 40   мм.</t>
  </si>
  <si>
    <t>ЛСО   70</t>
  </si>
  <si>
    <t>500 п.м. х 70   мм.</t>
  </si>
  <si>
    <t>ЛСГ – Лента Сигнальная «Газ» с логотипом «Опасно ГАЗ»</t>
  </si>
  <si>
    <t>Цвет желтый, 50 мкм</t>
  </si>
  <si>
    <t>250 п.м. х 200 мм.</t>
  </si>
  <si>
    <t>ЛСГ  200  ГАЗ чер/ж</t>
  </si>
  <si>
    <t>ЛСГ  200 Опасно газ кр/ж</t>
  </si>
  <si>
    <t>h - 3000мм d -  108мм</t>
  </si>
  <si>
    <t>h - 1800мм d -  108мм</t>
  </si>
  <si>
    <t xml:space="preserve">Ленты сигнальные ЛСТ, ЛСК, ЛСВ «Внимание теплосеть», «Внимание канализация»,  «Внимание </t>
  </si>
  <si>
    <t>водопровод».  Цвет белый, надписи – красная, черная и синяя соответственно.   200 мкм.</t>
  </si>
  <si>
    <t>ЛСТ, ЛСК, ЛСВ</t>
  </si>
  <si>
    <t>250 п.м. х 200 мм</t>
  </si>
  <si>
    <t>ЛСТ, ЛСК, ЛСВ    (1 проводник)</t>
  </si>
  <si>
    <t>Средства ограждения</t>
  </si>
  <si>
    <t>200 п.м.*50 мм</t>
  </si>
  <si>
    <t>Ролик</t>
  </si>
  <si>
    <t>200 п.м.*75 мм</t>
  </si>
  <si>
    <t>ЛО "Стандарт" 50 мкм</t>
  </si>
  <si>
    <t>100  п.м.* 75мм</t>
  </si>
  <si>
    <t>250 п.м.*75 мм</t>
  </si>
  <si>
    <t>500 п.м.*75 мм</t>
  </si>
  <si>
    <t>ЛО "Усиленная"  80 мкм</t>
  </si>
  <si>
    <t>250 п.м.* 75 мм</t>
  </si>
  <si>
    <t>ЛО "Опасная зона!" 50 мкм</t>
  </si>
  <si>
    <t>ЛО "Проход запрещен!" 50 мкм</t>
  </si>
  <si>
    <t>ЛО "Внимание ДТП" 50 мкм</t>
  </si>
  <si>
    <t>ЛО "Опасная зона! МЧС России телефон 01"</t>
  </si>
  <si>
    <t>ЛО "Зона таможенного контроля"</t>
  </si>
  <si>
    <t>250 п.м.*100 мм</t>
  </si>
  <si>
    <t>Чехол для вехи сигнальной</t>
  </si>
  <si>
    <t>50 м.п. * 100 мм</t>
  </si>
  <si>
    <t xml:space="preserve">              Конусы дорожные</t>
  </si>
  <si>
    <t>высота 320 мм.</t>
  </si>
  <si>
    <t>Шт.</t>
  </si>
  <si>
    <t>высота 520 мм.</t>
  </si>
  <si>
    <t>высота 1000 мм.</t>
  </si>
  <si>
    <t>Утяжелитель для конусов КС-2</t>
  </si>
  <si>
    <t>330 мм*330 мм</t>
  </si>
  <si>
    <t>Лежачие  полицейские (ИДН- искусственная дорожная неровность)</t>
  </si>
  <si>
    <t>500*500*55</t>
  </si>
  <si>
    <t>500х250х55</t>
  </si>
  <si>
    <t>900х500х55</t>
  </si>
  <si>
    <t>900х250х55</t>
  </si>
  <si>
    <t>h – 1200 мм         d - 40 мм</t>
  </si>
  <si>
    <t>Стойка металлическая</t>
  </si>
  <si>
    <t>h – 1300 мм            d - 14 мм</t>
  </si>
  <si>
    <t>Подставка резиновая</t>
  </si>
  <si>
    <t>350*350*80 мм</t>
  </si>
  <si>
    <t>Стержень для вехи</t>
  </si>
  <si>
    <t xml:space="preserve">h-350 мм </t>
  </si>
  <si>
    <t>1200*500*750 мм</t>
  </si>
  <si>
    <t>2000*500*750 мм</t>
  </si>
  <si>
    <t>0,27*1,18 м</t>
  </si>
  <si>
    <t>Лента оградительная (ЛО)</t>
  </si>
  <si>
    <t>ЛСГ 200 дет(проводник-изолированный 1 шт)</t>
  </si>
  <si>
    <t>ЛСГ 200 дет(проводник-изолированный 2 шт)</t>
  </si>
  <si>
    <t>А-40/1/25</t>
  </si>
  <si>
    <t>до 10 000  руб.</t>
  </si>
  <si>
    <r>
      <t>руб/м</t>
    </r>
    <r>
      <rPr>
        <b/>
        <vertAlign val="superscript"/>
        <sz val="12"/>
        <rFont val="Arial"/>
        <family val="2"/>
      </rPr>
      <t>1</t>
    </r>
  </si>
  <si>
    <t>16*16</t>
  </si>
  <si>
    <t>Ф-16/1,2/20</t>
  </si>
  <si>
    <t>Садовая  решетка 16*16 20 м.</t>
  </si>
  <si>
    <t>М-3/0,9/30</t>
  </si>
  <si>
    <t>Сетка противомоскитная стекл. в ПВХ</t>
  </si>
  <si>
    <t>0,9*30</t>
  </si>
  <si>
    <t>Белый, синий, зеленый</t>
  </si>
  <si>
    <t xml:space="preserve">КС 3.1 мягкий </t>
  </si>
  <si>
    <t>высота 750 мм</t>
  </si>
  <si>
    <t>h- 480мм</t>
  </si>
  <si>
    <t>h- 750мм</t>
  </si>
  <si>
    <t>ПМ/0,95/25</t>
  </si>
  <si>
    <t>Противоэрозионный мат</t>
  </si>
  <si>
    <t>черный, зеленый</t>
  </si>
  <si>
    <t>ПМ/1,9/25</t>
  </si>
  <si>
    <t>ПМ/1,9/50</t>
  </si>
  <si>
    <t>Размер модуля, м</t>
  </si>
  <si>
    <t>руб/мод.</t>
  </si>
  <si>
    <t>Газонная решетка "Экотек Грин"</t>
  </si>
  <si>
    <t>0,639*0,295</t>
  </si>
  <si>
    <t>связка 10 модулей</t>
  </si>
  <si>
    <t>Газонная решетка "Экотек Паркинг"</t>
  </si>
  <si>
    <t>0,595*0,595</t>
  </si>
  <si>
    <t>Газонная решетка</t>
  </si>
  <si>
    <t>h- 1500мм</t>
  </si>
  <si>
    <t>К-150/3/10</t>
  </si>
  <si>
    <t>Скоба U-образная метал.</t>
  </si>
  <si>
    <t>ø 3 мм</t>
  </si>
  <si>
    <t>10 шт./уп.</t>
  </si>
  <si>
    <t>К-150/4/10</t>
  </si>
  <si>
    <t>Скоба П-образная метал.</t>
  </si>
  <si>
    <t>ø 4 мм</t>
  </si>
  <si>
    <t xml:space="preserve">ОРЛ-5/160 </t>
  </si>
  <si>
    <t>160*160*50</t>
  </si>
  <si>
    <t>ОРЛ-7,5/160</t>
  </si>
  <si>
    <t>160*160*75</t>
  </si>
  <si>
    <t xml:space="preserve">ОРЛ-10/160 </t>
  </si>
  <si>
    <t>160*160*100</t>
  </si>
  <si>
    <t>ГТЛ 100/210/30</t>
  </si>
  <si>
    <t>ГТЛ 150/210/30</t>
  </si>
  <si>
    <t>ГТЛ 200/210/30</t>
  </si>
  <si>
    <t>ГТЛ 250/210/30</t>
  </si>
  <si>
    <t>ГТЛ 300/210/30</t>
  </si>
  <si>
    <t>КС 3.5 мягкий с утяжелителем</t>
  </si>
  <si>
    <t>СЛ-150/100/50</t>
  </si>
  <si>
    <t>Спанбонд 150 г/м2</t>
  </si>
  <si>
    <t>СЛ-150/160/50</t>
  </si>
  <si>
    <t>СЛ-150/220/50</t>
  </si>
  <si>
    <t>Спанбонд ландшафтный</t>
  </si>
  <si>
    <t>СЛ-60/160/10</t>
  </si>
  <si>
    <t>Спанбонд 60 г/м2</t>
  </si>
  <si>
    <t>пакет</t>
  </si>
  <si>
    <t>СЛ-80/160/10</t>
  </si>
  <si>
    <t>Спанбонд 80 г/м2</t>
  </si>
  <si>
    <t>белый</t>
  </si>
  <si>
    <t>СЛ-80/80/10</t>
  </si>
  <si>
    <t>150 п.м. * 50 мм</t>
  </si>
  <si>
    <t>КС- 1.2.2  мягкий  "СУПЕР"</t>
  </si>
  <si>
    <t>КС- 1.6.2  мягкий "СУПЕР"</t>
  </si>
  <si>
    <t>КС- 2.2.2 мягкий "СУПЕР"</t>
  </si>
  <si>
    <t xml:space="preserve">КС- 2.3 жесткий </t>
  </si>
  <si>
    <t>КС- 2.4.2 мягкий "СУПЕР "</t>
  </si>
  <si>
    <t xml:space="preserve">КС- 2.7 жесткий </t>
  </si>
  <si>
    <t xml:space="preserve">КС- 2.8.1 мягкий </t>
  </si>
  <si>
    <t>КС- 2.8.2 мягкий "СУПЕР "</t>
  </si>
  <si>
    <t>А-45/1,3/50</t>
  </si>
  <si>
    <t>Аварийное ограждение 40*45 50 м.п/п</t>
  </si>
  <si>
    <t>40*46</t>
  </si>
  <si>
    <t>1,3*50</t>
  </si>
  <si>
    <t>ОР 5 СН</t>
  </si>
  <si>
    <t xml:space="preserve">2,4*5,25 м / 12,6 м2 </t>
  </si>
  <si>
    <t>ОР 10 СН</t>
  </si>
  <si>
    <t>ОР 15 СН</t>
  </si>
  <si>
    <t>ОР 20 СН</t>
  </si>
  <si>
    <t xml:space="preserve">2,95*7,3 м  / 21,5 м2 </t>
  </si>
  <si>
    <t xml:space="preserve">2,5*10,5 м /26,25 м2 </t>
  </si>
  <si>
    <t>ОР  5 СНО</t>
  </si>
  <si>
    <t>ОР 10 СНО</t>
  </si>
  <si>
    <t>ОР 15 СНО</t>
  </si>
  <si>
    <t>ОР 20 СНО</t>
  </si>
  <si>
    <t>Ф-18/0,8/15</t>
  </si>
  <si>
    <t>0,8 * 15</t>
  </si>
  <si>
    <t>ЛСГ  200 (200 мкм) с логотипом"Газпромрегионгаз, Огнеопасно Газ"</t>
  </si>
  <si>
    <t>ЛСГ 200 дет(200 мкм) с логотипом "Газпромрегионгаз,Огнеопасно Газ" с изолированным проводником</t>
  </si>
  <si>
    <t>150 п.м.х200 мм.</t>
  </si>
  <si>
    <t>ЛО-150"Эконом",50мм,35 мкм</t>
  </si>
  <si>
    <t>ЛО-200 "Эконом" ,50мм,35 мкм</t>
  </si>
  <si>
    <t>ЛО-180"Эконом",75 мм,35 мкм</t>
  </si>
  <si>
    <t>180 п.м.*75 мм</t>
  </si>
  <si>
    <t>ЛО-200 "Эконом",75мм, 35 мкм</t>
  </si>
  <si>
    <t xml:space="preserve">КС- 1.3  жесткий </t>
  </si>
  <si>
    <t xml:space="preserve">КС- 1.4.1   мягкий </t>
  </si>
  <si>
    <t xml:space="preserve">КС- 1.5  жесткий </t>
  </si>
  <si>
    <t xml:space="preserve">КС- 1.6.1  мягкий </t>
  </si>
  <si>
    <t xml:space="preserve">КС- 2.1  жесткий </t>
  </si>
  <si>
    <t>КС- 2.2.1 мягкий</t>
  </si>
  <si>
    <t xml:space="preserve">КС- 2.4.1 мягкий </t>
  </si>
  <si>
    <t xml:space="preserve">КС- 2.5 жесткий </t>
  </si>
  <si>
    <t xml:space="preserve">КС- 2.6.1 мягкий </t>
  </si>
  <si>
    <t>без полос</t>
  </si>
  <si>
    <t>1 белая полоса</t>
  </si>
  <si>
    <t>1 светоотражающая полоса</t>
  </si>
  <si>
    <t>2 белые полосы</t>
  </si>
  <si>
    <t>комбинированный</t>
  </si>
  <si>
    <t>2 светоотражающие полосы</t>
  </si>
  <si>
    <t xml:space="preserve">КС 3.2 мягкий </t>
  </si>
  <si>
    <t xml:space="preserve">КС 3.3 мягкий </t>
  </si>
  <si>
    <t xml:space="preserve">КС 3.4 мягкий </t>
  </si>
  <si>
    <t>КД-1000   жесткий с  утяжелителем</t>
  </si>
  <si>
    <t>Спанбонд</t>
  </si>
  <si>
    <t>плотность, гр/м2</t>
  </si>
  <si>
    <t>Размер полотна, м</t>
  </si>
  <si>
    <t>СЛ-17/320/10</t>
  </si>
  <si>
    <t>Спанбонд 17 г/м2</t>
  </si>
  <si>
    <t>СЛ-30/320/10</t>
  </si>
  <si>
    <t>Спанбонд 30 г/м2</t>
  </si>
  <si>
    <t>Спанбонд 40 г/м2</t>
  </si>
  <si>
    <t>СЛ-17/320/500</t>
  </si>
  <si>
    <t>СЛ-30/320/300</t>
  </si>
  <si>
    <t>Стеклосетка армирующая 115 г.</t>
  </si>
  <si>
    <t>1*45</t>
  </si>
  <si>
    <t>5 рулонов в коробке</t>
  </si>
  <si>
    <t>Стеклогеосетки</t>
  </si>
  <si>
    <t>Геосетка 50</t>
  </si>
  <si>
    <t>25х25,       37,5х37,5       50х50</t>
  </si>
  <si>
    <t>1,2/2,4 х 75</t>
  </si>
  <si>
    <t>Геосетка 70</t>
  </si>
  <si>
    <t>1,2/2,4 х 50</t>
  </si>
  <si>
    <t>Геосетка 100</t>
  </si>
  <si>
    <t>Геосетка 120</t>
  </si>
  <si>
    <t>Геокомпозит К-50</t>
  </si>
  <si>
    <t>Геокомпозит К-70</t>
  </si>
  <si>
    <t>Геокомпозит К-100</t>
  </si>
  <si>
    <t>Световозвращающий элемент доржного ограждения КД-4</t>
  </si>
  <si>
    <t>КС- 1.4.2 мягкий  "СУПЕР "</t>
  </si>
  <si>
    <t>КС- 2.6.2 мягкий "СУПЕР"</t>
  </si>
  <si>
    <t>Ф-19/0,8/15</t>
  </si>
  <si>
    <t>Садовая  решетка 19*19 15 м.</t>
  </si>
  <si>
    <t>19*19</t>
  </si>
  <si>
    <t>СЛ-42/320/10</t>
  </si>
  <si>
    <t>Д-10/2/30</t>
  </si>
  <si>
    <t>Дренажный мат 2-х сторонний</t>
  </si>
  <si>
    <t>1 * 30</t>
  </si>
  <si>
    <t>ДМ-10/2/30</t>
  </si>
  <si>
    <t xml:space="preserve">Геосетки дорожные   </t>
  </si>
  <si>
    <t>Д-32/2/15</t>
  </si>
  <si>
    <t>Геосетка "Тротуар"</t>
  </si>
  <si>
    <t>2*15</t>
  </si>
  <si>
    <t>Д-32/2/30</t>
  </si>
  <si>
    <t>Д-30/2/30</t>
  </si>
  <si>
    <t>Геосетка  "Д-30"</t>
  </si>
  <si>
    <t>30*30</t>
  </si>
  <si>
    <t>Ф-16/0,6/10</t>
  </si>
  <si>
    <t>Садовая решетка 16*0,6 10 м</t>
  </si>
  <si>
    <t>Зеленый, хаки, серый</t>
  </si>
  <si>
    <t>ГТЛ 250/100/30</t>
  </si>
  <si>
    <t>ГТЛ 300/100/30</t>
  </si>
  <si>
    <t>Ф-170/2/500</t>
  </si>
  <si>
    <t>2*500</t>
  </si>
  <si>
    <t>Ф-170/2/3</t>
  </si>
  <si>
    <t>2*3</t>
  </si>
  <si>
    <t>45 упаковок в коробе</t>
  </si>
  <si>
    <t>КС- 1.1    жесткий</t>
  </si>
  <si>
    <t>КС- 1.2.1   мягкий</t>
  </si>
  <si>
    <r>
      <t>2,75*6,0 м  / 16,5 м</t>
    </r>
    <r>
      <rPr>
        <vertAlign val="superscript"/>
        <sz val="14"/>
        <rFont val="Arial"/>
        <family val="2"/>
      </rPr>
      <t xml:space="preserve">2 </t>
    </r>
  </si>
  <si>
    <t>Ф-20/1/5</t>
  </si>
  <si>
    <t>Садовая решетка 20*20   5м.</t>
  </si>
  <si>
    <t>Ф-20/1/10</t>
  </si>
  <si>
    <t>Садовая решетка 20*20   10м.</t>
  </si>
  <si>
    <t>С-5/0,4/100</t>
  </si>
  <si>
    <t>0,4*100</t>
  </si>
  <si>
    <t>С-5/0,1/100</t>
  </si>
  <si>
    <t>0,1*100</t>
  </si>
  <si>
    <t>Ф-83/1/5</t>
  </si>
  <si>
    <t>Садовая решетка 83*83 5 м.</t>
  </si>
  <si>
    <t>Ф-83/1/10</t>
  </si>
  <si>
    <t>Садовая решетка 83*83 10 м.</t>
  </si>
  <si>
    <t>Ф-16/1,2/10</t>
  </si>
  <si>
    <t>Садовая  решетка 16*16 10 м.</t>
  </si>
  <si>
    <t>ФК-15/1/15</t>
  </si>
  <si>
    <t>Садовая решетка 15*15  с кромкой 15м.</t>
  </si>
  <si>
    <t>1 * 15</t>
  </si>
  <si>
    <t>150 п.м. х 200 мм</t>
  </si>
  <si>
    <t>Пленки полиэтиленовые Армированные</t>
  </si>
  <si>
    <t>Плотность</t>
  </si>
  <si>
    <t>Ширина</t>
  </si>
  <si>
    <t>Длина, пог. м.</t>
  </si>
  <si>
    <t>руб/пог.м.</t>
  </si>
  <si>
    <t>3,2*10</t>
  </si>
  <si>
    <t>1,6*10</t>
  </si>
  <si>
    <t>рулон без шва</t>
  </si>
  <si>
    <t>рулон со швом</t>
  </si>
  <si>
    <t>ПА-100/2/25</t>
  </si>
  <si>
    <t>Пленка полиэтиленовая Армированная</t>
  </si>
  <si>
    <t>ПА-100/2/50</t>
  </si>
  <si>
    <t>ПА-120/2/25</t>
  </si>
  <si>
    <t>ПА-120/2/50</t>
  </si>
  <si>
    <t>ПА-120/3/25</t>
  </si>
  <si>
    <t>ПА-120/3/50</t>
  </si>
  <si>
    <t>ПА-120/4/25</t>
  </si>
  <si>
    <t>ПА-120/4/50</t>
  </si>
  <si>
    <t>ПА-140/2/25</t>
  </si>
  <si>
    <t>ПА-140/2/50</t>
  </si>
  <si>
    <t>3,2*500</t>
  </si>
  <si>
    <t>3,2*300</t>
  </si>
  <si>
    <t>800*300*250</t>
  </si>
  <si>
    <t>Полотно нетканое 100 г/м2</t>
  </si>
  <si>
    <t>Полотно нетканое 150 г/м2</t>
  </si>
  <si>
    <t>Полотно нетканое 200 г/м2</t>
  </si>
  <si>
    <t>Полотно нетканое 250 г/м2</t>
  </si>
  <si>
    <t>Полотно нетканое 300 г/м2</t>
  </si>
  <si>
    <t>Маскировочные сети</t>
  </si>
  <si>
    <t>МС1-3</t>
  </si>
  <si>
    <t>3*3</t>
  </si>
  <si>
    <t>МС1-6</t>
  </si>
  <si>
    <t>3*6</t>
  </si>
  <si>
    <t>ЭС-3</t>
  </si>
  <si>
    <t>Сеть маскировочная  Экон</t>
  </si>
  <si>
    <t>Зелено-коричневый</t>
  </si>
  <si>
    <t>2,4*3</t>
  </si>
  <si>
    <t>ЭС-6</t>
  </si>
  <si>
    <t>2,4*6</t>
  </si>
  <si>
    <t>Георешетка полимерная с колышками</t>
  </si>
  <si>
    <t>С-65/4/25</t>
  </si>
  <si>
    <t>Сетка для армирования бетона</t>
  </si>
  <si>
    <t>65*65</t>
  </si>
  <si>
    <r>
      <t>1,96 * 5,1 м /           10 м</t>
    </r>
    <r>
      <rPr>
        <vertAlign val="superscript"/>
        <sz val="16"/>
        <rFont val="Times New Roman"/>
        <family val="1"/>
      </rPr>
      <t>2</t>
    </r>
  </si>
  <si>
    <t>Д 40/4/50</t>
  </si>
  <si>
    <t>4*50</t>
  </si>
  <si>
    <t>Тенты защитные</t>
  </si>
  <si>
    <t>Плотность, гр./м2</t>
  </si>
  <si>
    <t>ТПЕ-120/2/3</t>
  </si>
  <si>
    <t>Тент Тарпаулин</t>
  </si>
  <si>
    <t>зелено-серебристый</t>
  </si>
  <si>
    <t>ТПЕ-120/3/5</t>
  </si>
  <si>
    <t>3*5</t>
  </si>
  <si>
    <t>ТПЕ-120/4/6</t>
  </si>
  <si>
    <t>4*6</t>
  </si>
  <si>
    <t>ТПЕ-120/8/12</t>
  </si>
  <si>
    <t>8*12</t>
  </si>
  <si>
    <t>ТПЕ-120/10/15</t>
  </si>
  <si>
    <t>10*15</t>
  </si>
  <si>
    <t>Сетка для защиты строительных лесов                       Фасад 35</t>
  </si>
  <si>
    <t>1,5*10</t>
  </si>
  <si>
    <t>Сетка для защиты строительных лесов                       Фасад 72 ( усиленный край, петли)</t>
  </si>
  <si>
    <t>1,5*1,5</t>
  </si>
  <si>
    <t>Декоративные изгороди</t>
  </si>
  <si>
    <t>руб/шт.</t>
  </si>
  <si>
    <t>MZ8002</t>
  </si>
  <si>
    <t>Декоративная изгородь Хвоя</t>
  </si>
  <si>
    <t>1*3</t>
  </si>
  <si>
    <t>2 рулона в коробке</t>
  </si>
  <si>
    <t>MZ8040</t>
  </si>
  <si>
    <t>Декоративная изгородь Фотиния</t>
  </si>
  <si>
    <t>0,5*0,5</t>
  </si>
  <si>
    <t>Зелено-красный</t>
  </si>
  <si>
    <t>12 модулей в коробке</t>
  </si>
  <si>
    <t>MZ8041</t>
  </si>
  <si>
    <t>Декоративная изгородь Плющ</t>
  </si>
  <si>
    <t>MZ8010</t>
  </si>
  <si>
    <t>Декоративная изгородь Бегония</t>
  </si>
  <si>
    <t>43*43</t>
  </si>
  <si>
    <t>Чехол для кустарников и роз</t>
  </si>
  <si>
    <t>0,4*0,8</t>
  </si>
  <si>
    <t>40 пакетов  в коробке</t>
  </si>
  <si>
    <t>0,8*1,2</t>
  </si>
  <si>
    <t>25 пакетов  в коробке</t>
  </si>
  <si>
    <t>1,0*1,6</t>
  </si>
  <si>
    <t>18 пакетов  в коробке</t>
  </si>
  <si>
    <t>Конус для хвойных растений</t>
  </si>
  <si>
    <t>1,0*1,2</t>
  </si>
  <si>
    <t>50 пакетов  в коробке</t>
  </si>
  <si>
    <t>1,2*1,7</t>
  </si>
  <si>
    <t>30 пакетов  в коробке</t>
  </si>
  <si>
    <t>1,5*2,5</t>
  </si>
  <si>
    <t xml:space="preserve">25 шт. в пакете </t>
  </si>
  <si>
    <t xml:space="preserve">10 шт. в пакете  </t>
  </si>
  <si>
    <t xml:space="preserve">5 шт. в пакете  </t>
  </si>
  <si>
    <t xml:space="preserve">2 шт. в пакете  </t>
  </si>
  <si>
    <t xml:space="preserve">1 шт. в пакете  </t>
  </si>
  <si>
    <t>160*160*50*1,6</t>
  </si>
  <si>
    <t>160*160*100*1,6</t>
  </si>
  <si>
    <t>160*160*150*1,6</t>
  </si>
  <si>
    <t>160*160*200*1,6</t>
  </si>
  <si>
    <t>210*210*50*1,6</t>
  </si>
  <si>
    <t>210*210*100*1,6</t>
  </si>
  <si>
    <t>210*210*150*1,6</t>
  </si>
  <si>
    <t>210*210*200*1,6</t>
  </si>
  <si>
    <t>320*320*100*1,6</t>
  </si>
  <si>
    <t>320*320*150*1,6</t>
  </si>
  <si>
    <t>320*320*200*1,6</t>
  </si>
  <si>
    <t>410*410*100*1,6</t>
  </si>
  <si>
    <t>410*410*150*1,6</t>
  </si>
  <si>
    <t>410*410*200*1,6</t>
  </si>
  <si>
    <t>160*160*50*1,3</t>
  </si>
  <si>
    <t>160*160*100*1,3</t>
  </si>
  <si>
    <t>160*160*150*1,3</t>
  </si>
  <si>
    <t>160*160*200*1,3</t>
  </si>
  <si>
    <t>210*210*50*1,3</t>
  </si>
  <si>
    <t>210*210*100*1,3</t>
  </si>
  <si>
    <t>210*210*150*1,3</t>
  </si>
  <si>
    <t>210*210*200*1,3</t>
  </si>
  <si>
    <t>320*320*100*1,3</t>
  </si>
  <si>
    <t>320*320*150*1,3</t>
  </si>
  <si>
    <t>320*320*200*1,3</t>
  </si>
  <si>
    <t>410*410*100*1,3</t>
  </si>
  <si>
    <t>410*410*150*1,3</t>
  </si>
  <si>
    <t>410*410*200*1,3</t>
  </si>
  <si>
    <t>Т-33/1,5/25</t>
  </si>
  <si>
    <t>Т-33/2/25</t>
  </si>
  <si>
    <t>28*40</t>
  </si>
  <si>
    <t>С-45/2/10</t>
  </si>
  <si>
    <t>С-45/2/25</t>
  </si>
  <si>
    <t>С-45/2/50</t>
  </si>
  <si>
    <t>С-45/4/25</t>
  </si>
  <si>
    <t>5 шт./короб.</t>
  </si>
  <si>
    <t>К-295/6</t>
  </si>
  <si>
    <t>ПА-200/2/25</t>
  </si>
  <si>
    <t>ЭС-2,7</t>
  </si>
  <si>
    <t>2,4*2,7</t>
  </si>
  <si>
    <t>ТПЕ-180/4/6</t>
  </si>
  <si>
    <t>синий</t>
  </si>
  <si>
    <t>ИДН-500 армированный  (основной элемент-4 вставки, 6 болтов)</t>
  </si>
  <si>
    <t>ИДН-900 армированный   (основной элемент -8 вставок,12 болтов)</t>
  </si>
  <si>
    <t>Ф-150/1,7/1000</t>
  </si>
  <si>
    <t>150*130</t>
  </si>
  <si>
    <t>1,7*1000</t>
  </si>
  <si>
    <t>А-90/1,2/50</t>
  </si>
  <si>
    <t>1,2*50</t>
  </si>
  <si>
    <t>СС-45/1/45</t>
  </si>
  <si>
    <t>СС-50/1/45</t>
  </si>
  <si>
    <t>Стеклосетка малярная          50 гр.</t>
  </si>
  <si>
    <t>СС-60/1/45</t>
  </si>
  <si>
    <t>СС-70/1/45</t>
  </si>
  <si>
    <t>СС-145/1/45</t>
  </si>
  <si>
    <t>СС-160/1/45</t>
  </si>
  <si>
    <t>Синий, зеленый</t>
  </si>
  <si>
    <t>СС-115/1/45</t>
  </si>
  <si>
    <t>СС-65/0,05/45</t>
  </si>
  <si>
    <t>ТПЕ-120/4/8</t>
  </si>
  <si>
    <t>4*8</t>
  </si>
  <si>
    <t>ТПЕ-120/6/8</t>
  </si>
  <si>
    <t>ТПЕ-120/8/10</t>
  </si>
  <si>
    <t>8*10</t>
  </si>
  <si>
    <t>ТПЕ-180/6/8</t>
  </si>
  <si>
    <t>4 шт. в пакете</t>
  </si>
  <si>
    <t>КМ-6/300</t>
  </si>
  <si>
    <t>КМ-6/400</t>
  </si>
  <si>
    <t>КМ-5/500</t>
  </si>
  <si>
    <t>КМ-6/800</t>
  </si>
  <si>
    <t>КМС-6/500</t>
  </si>
  <si>
    <t>КМС-6/800</t>
  </si>
  <si>
    <t>КП-500</t>
  </si>
  <si>
    <t>Анкер пластиковый для георешетки</t>
  </si>
  <si>
    <t>КП-800</t>
  </si>
  <si>
    <t>М-500</t>
  </si>
  <si>
    <t>Пробойник металлический для пластикового анкера</t>
  </si>
  <si>
    <t>М-800</t>
  </si>
  <si>
    <t>П-10</t>
  </si>
  <si>
    <t>Насадка на арматуру</t>
  </si>
  <si>
    <t>ø 10 мм</t>
  </si>
  <si>
    <t>П-12</t>
  </si>
  <si>
    <t>ø 12 мм</t>
  </si>
  <si>
    <t xml:space="preserve">Барьер водоналивной  (БВ-1,2) </t>
  </si>
  <si>
    <t xml:space="preserve">Барьер водоналивной (БВ-2,0) </t>
  </si>
  <si>
    <t>Фонарь сигнальный  ФС-12 (12 V, ток постоянный)</t>
  </si>
  <si>
    <t>Сетка для упаковки елок</t>
  </si>
  <si>
    <t>макс. Диам.35-40 см</t>
  </si>
  <si>
    <t>макс. Диам.50-55 см</t>
  </si>
  <si>
    <t>бобина 300 п.м.</t>
  </si>
  <si>
    <t>Тоннель для упаковки елок</t>
  </si>
  <si>
    <t>диам.трубы 30 см</t>
  </si>
  <si>
    <t>диам.трубы 45 см</t>
  </si>
  <si>
    <t>диам.трубы 55 см</t>
  </si>
  <si>
    <t>ИДН-500 (основной элемент-4 вставки, 4 болта)облегченный</t>
  </si>
  <si>
    <t>500х500х50</t>
  </si>
  <si>
    <t>ИДН-500 (концевой элемент-3 болта)облегченный</t>
  </si>
  <si>
    <t>500х250х50</t>
  </si>
  <si>
    <t>ИДН-900 (основной элемент -4 вставки, 11 болтов)облегченный</t>
  </si>
  <si>
    <t>900х500х50</t>
  </si>
  <si>
    <t>ИДН-900 (концевой  элемент, 4 болта)облегченный</t>
  </si>
  <si>
    <t>900х250х50</t>
  </si>
  <si>
    <t xml:space="preserve">Сетка для защиты строительных лесов                       Фасад 30 </t>
  </si>
  <si>
    <t>ЛО-100 Свет Эконом 50 мм *100 м</t>
  </si>
  <si>
    <t>100 п.м.*50 мм</t>
  </si>
  <si>
    <t>ЛО-100 Свет Эконом 75 мм *100 м</t>
  </si>
  <si>
    <t>100 п.м.*75 мм</t>
  </si>
  <si>
    <t>0,8*25</t>
  </si>
  <si>
    <t>З-45/1,5/25</t>
  </si>
  <si>
    <t>З-65/1,5/25</t>
  </si>
  <si>
    <t>З-35/1,2/10</t>
  </si>
  <si>
    <t>З-35/1,2/25</t>
  </si>
  <si>
    <t>З-40/1,5/10</t>
  </si>
  <si>
    <t>З-40/1,5/25</t>
  </si>
  <si>
    <t>С-28/1/20</t>
  </si>
  <si>
    <t>Садовая решетка 28*38  20 м.</t>
  </si>
  <si>
    <t>28*38</t>
  </si>
  <si>
    <t>С-45/1/25</t>
  </si>
  <si>
    <t>Садовая решетка 43*43  25 м.</t>
  </si>
  <si>
    <t>С-65/0,8/25</t>
  </si>
  <si>
    <t>Садовая решетка 65*65  25 м.</t>
  </si>
  <si>
    <t>С-28/1,5/20</t>
  </si>
  <si>
    <t>1,5*20</t>
  </si>
  <si>
    <t>С-45/1,5/25</t>
  </si>
  <si>
    <t>С-65/1,5/25</t>
  </si>
  <si>
    <t>С-28/2,0/20</t>
  </si>
  <si>
    <t>Заборная решетка 2.0</t>
  </si>
  <si>
    <t>2,0*20</t>
  </si>
  <si>
    <t>ФК-10/0,9/10</t>
  </si>
  <si>
    <t>Садовая решетка 10*10  с кромкой 10м.</t>
  </si>
  <si>
    <t>0,9*10</t>
  </si>
  <si>
    <t>ФК-10/0,9/20</t>
  </si>
  <si>
    <t>Садовая решетка 10*10  с кромкой  20м.</t>
  </si>
  <si>
    <t>0,9*20</t>
  </si>
  <si>
    <t>ФК-20/0,9/10</t>
  </si>
  <si>
    <t>Садовая решетка 20*20   с кромкой 10м.</t>
  </si>
  <si>
    <t>0,9 * 10</t>
  </si>
  <si>
    <t>ФК-20/0,9/20</t>
  </si>
  <si>
    <t>Садовая решетка 20*20   с кромкой 20м.</t>
  </si>
  <si>
    <t>0,9 * 20</t>
  </si>
  <si>
    <t>ФК-45/0,9/10</t>
  </si>
  <si>
    <t>Садовая решетка 45*50  с кромкой 10 м.</t>
  </si>
  <si>
    <t>ФК-45/0,9/20</t>
  </si>
  <si>
    <t>Садовая решетка 45*50 с кромкой 20 м.</t>
  </si>
  <si>
    <t>Сетка-мешок  с завязками и ручкой</t>
  </si>
  <si>
    <t>Бордюр для грядок  (сшит в кольцо)</t>
  </si>
  <si>
    <t>Х 3-100</t>
  </si>
  <si>
    <t>3*100</t>
  </si>
  <si>
    <t>Х 4-150</t>
  </si>
  <si>
    <t>4*150</t>
  </si>
  <si>
    <t>СЛ-42/320/200</t>
  </si>
  <si>
    <t>3,2*200</t>
  </si>
  <si>
    <t>СЛ-60/320/10</t>
  </si>
  <si>
    <t>СЛ-60/320/150</t>
  </si>
  <si>
    <t>3,2*150</t>
  </si>
  <si>
    <t>СЛ-60/160/300</t>
  </si>
  <si>
    <t>1,6*300</t>
  </si>
  <si>
    <t>А-80/1,5/50</t>
  </si>
  <si>
    <t>Аварийное ограждение 20*80 50 м. п/п</t>
  </si>
  <si>
    <t>20*80</t>
  </si>
  <si>
    <t>1,5*50</t>
  </si>
  <si>
    <t>А-80/1,8/50</t>
  </si>
  <si>
    <t>1,8*50</t>
  </si>
  <si>
    <t>h - 2200мм d -  83мм</t>
  </si>
  <si>
    <t>КД-750   жесткий с утяжелителем</t>
  </si>
  <si>
    <t>высота 750 мм.</t>
  </si>
  <si>
    <t>КД-700 мягкий</t>
  </si>
  <si>
    <t>высота 700 мм.</t>
  </si>
  <si>
    <t>КСС-400 складной</t>
  </si>
  <si>
    <t>высота 400 мм.</t>
  </si>
  <si>
    <t>Парковочное оборудование</t>
  </si>
  <si>
    <t>КР-1800</t>
  </si>
  <si>
    <t>Колесоотбойник резиновый (4 отв. под болты)</t>
  </si>
  <si>
    <t>1800*150*100 мм (из 2 частей)</t>
  </si>
  <si>
    <t>ДР-1000</t>
  </si>
  <si>
    <t>Делиниатор резиновый (2 отв. под болты)</t>
  </si>
  <si>
    <t>1000*200*100 мм</t>
  </si>
  <si>
    <t>ДР-1000 Ф</t>
  </si>
  <si>
    <t>Делиниатор с флажком резиновый (2 отв. под болты)</t>
  </si>
  <si>
    <t>ДУ-800/100</t>
  </si>
  <si>
    <t>Демпфер угловой резиновый (6 отв. под болты)</t>
  </si>
  <si>
    <t>800*120*20 мм</t>
  </si>
  <si>
    <t>ДУ-800/120 С</t>
  </si>
  <si>
    <t>Демпфер угловой сгругленный резиновый (6 отв. под болты)</t>
  </si>
  <si>
    <t>800*100*20 мм</t>
  </si>
  <si>
    <t>ДС-800/220</t>
  </si>
  <si>
    <t>Демпфер стеновой резиновый (2 отв. под болты)</t>
  </si>
  <si>
    <t>800*220*35 мм</t>
  </si>
  <si>
    <t>СР-150/600</t>
  </si>
  <si>
    <t>Съезд с бордюра резиновый (осн. элемент) (4 отв. под болты)</t>
  </si>
  <si>
    <t>150*360*600 мм</t>
  </si>
  <si>
    <t>СР-150/300</t>
  </si>
  <si>
    <t>Съезд с бордюра резиновый (боковой элемент) (3 отв. под болты)</t>
  </si>
  <si>
    <t>150*360*300 мм</t>
  </si>
  <si>
    <t>Цепь пластиковая</t>
  </si>
  <si>
    <t>звено 6 мм, бухта  - 25 м</t>
  </si>
  <si>
    <t>Пластиковое ограждение "Штакетник"</t>
  </si>
  <si>
    <t>1200 * 1200 мм</t>
  </si>
  <si>
    <t>Спортивное ограждение "Виборд"</t>
  </si>
  <si>
    <t>h- 800мм</t>
  </si>
  <si>
    <t>h- 1300мм</t>
  </si>
  <si>
    <t>Фонарь сигнальный  ФС-4.1 (2 батарейки АА по 1,5 V в комплекте) - может вставляться в веху</t>
  </si>
  <si>
    <t>350*180  мм, d ручки-40 мм</t>
  </si>
  <si>
    <t>L -150 мм d ручки-30 мм</t>
  </si>
  <si>
    <t>L- 130 мм</t>
  </si>
  <si>
    <t>40*40</t>
  </si>
  <si>
    <t>35*35</t>
  </si>
  <si>
    <t>h - 2200мм d -  108мм</t>
  </si>
  <si>
    <t xml:space="preserve">Прайс </t>
  </si>
  <si>
    <r>
      <t xml:space="preserve">СОС </t>
    </r>
    <r>
      <rPr>
        <sz val="10"/>
        <rFont val="Times New Roman"/>
        <family val="1"/>
      </rPr>
      <t>Столбик опознавательный для подземных кабельных линий связи (цвет белый с черным)</t>
    </r>
  </si>
  <si>
    <r>
      <t xml:space="preserve">СОЭ </t>
    </r>
    <r>
      <rPr>
        <sz val="10"/>
        <rFont val="Times New Roman"/>
        <family val="1"/>
      </rPr>
      <t>Столбик опознавательный для подземных кабельных линий электропередач (цвет белый крышка красная)</t>
    </r>
  </si>
  <si>
    <r>
      <t xml:space="preserve">СОГ </t>
    </r>
    <r>
      <rPr>
        <sz val="10"/>
        <rFont val="Times New Roman"/>
        <family val="1"/>
      </rPr>
      <t xml:space="preserve">Столбик опознавательный для подземных газопроводов (цвет желтый с красным) </t>
    </r>
  </si>
  <si>
    <r>
      <t xml:space="preserve">СОГ </t>
    </r>
    <r>
      <rPr>
        <sz val="10"/>
        <rFont val="Times New Roman"/>
        <family val="1"/>
      </rPr>
      <t>Столбик опознавательный для подземных газопроводов (цвет желтый с красным)</t>
    </r>
  </si>
  <si>
    <r>
      <t>ИДН-500 армированный  (концевой элемент-4 болта</t>
    </r>
    <r>
      <rPr>
        <sz val="10"/>
        <rFont val="Times New Roman"/>
        <family val="1"/>
      </rPr>
      <t>)</t>
    </r>
  </si>
  <si>
    <r>
      <t>ИДН-900 армированный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(концевой  элемент, 4 болта</t>
    </r>
    <r>
      <rPr>
        <sz val="10"/>
        <rFont val="Times New Roman"/>
        <family val="1"/>
      </rPr>
      <t>)</t>
    </r>
  </si>
  <si>
    <r>
      <t xml:space="preserve">Столбик сигнальный упругий </t>
    </r>
    <r>
      <rPr>
        <b/>
        <sz val="11"/>
        <rFont val="Times New Roman"/>
        <family val="1"/>
      </rPr>
      <t>ССУ-480</t>
    </r>
  </si>
  <si>
    <r>
      <t xml:space="preserve">Столбик сигнальный упругий </t>
    </r>
    <r>
      <rPr>
        <b/>
        <sz val="11"/>
        <rFont val="Times New Roman"/>
        <family val="1"/>
      </rPr>
      <t>ССУ-750</t>
    </r>
  </si>
  <si>
    <r>
      <rPr>
        <b/>
        <sz val="11"/>
        <rFont val="Times New Roman"/>
        <family val="1"/>
      </rPr>
      <t>ССУ-800</t>
    </r>
    <r>
      <rPr>
        <sz val="11"/>
        <rFont val="Times New Roman"/>
        <family val="1"/>
      </rPr>
      <t xml:space="preserve"> Столбик сигнальный упругий </t>
    </r>
  </si>
  <si>
    <r>
      <t xml:space="preserve">СДС </t>
    </r>
    <r>
      <rPr>
        <sz val="11"/>
        <rFont val="Times New Roman"/>
        <family val="1"/>
      </rPr>
      <t>Столбик дорожный полиэтилен. (сорт 1)</t>
    </r>
  </si>
  <si>
    <r>
      <t xml:space="preserve">СДС </t>
    </r>
    <r>
      <rPr>
        <sz val="11"/>
        <rFont val="Times New Roman"/>
        <family val="1"/>
      </rPr>
      <t>Столбик дорожный полиэтилен. ( 2 сорт)</t>
    </r>
  </si>
  <si>
    <r>
      <t xml:space="preserve">СДСУ </t>
    </r>
    <r>
      <rPr>
        <sz val="11"/>
        <rFont val="Times New Roman"/>
        <family val="1"/>
      </rPr>
      <t>Столбик дорожный упругий</t>
    </r>
  </si>
  <si>
    <t>Ф-7/0,4/10</t>
  </si>
  <si>
    <t>Садовая решетка 7*7   10м.</t>
  </si>
  <si>
    <t>Ф-7/0,4/20</t>
  </si>
  <si>
    <t>Садовая решетка 7*7   20м.</t>
  </si>
  <si>
    <t>0,4*20</t>
  </si>
  <si>
    <t>Ф-7/0,6/10</t>
  </si>
  <si>
    <t>Ф-7/0,6/20</t>
  </si>
  <si>
    <t>0,6*20</t>
  </si>
  <si>
    <t>Ф-7/0,8/10</t>
  </si>
  <si>
    <t>Ф-7/0,8/20</t>
  </si>
  <si>
    <t>0,8*20</t>
  </si>
  <si>
    <t>Ф-7/0,4/9</t>
  </si>
  <si>
    <t>Сетка для защиты водостоков</t>
  </si>
  <si>
    <t>0,4*9</t>
  </si>
  <si>
    <t>М-1/1,2/30</t>
  </si>
  <si>
    <t>Сетка противомоскитная п/э</t>
  </si>
  <si>
    <t>1,2*30</t>
  </si>
  <si>
    <t>Белый, синий, зеленый, серый</t>
  </si>
  <si>
    <t>ФК-35/0,5/5</t>
  </si>
  <si>
    <t>Садовая решетка 35*40  5 м. С КРОМКОЙ</t>
  </si>
  <si>
    <t>ФК-35/0,5/10</t>
  </si>
  <si>
    <t>Садовая решетка  35*40  10 м. С КРОМКОЙ</t>
  </si>
  <si>
    <t>ФК-35/0,5/20</t>
  </si>
  <si>
    <t>Садовая решетка 35*40  20 м. С КРОМКОЙ</t>
  </si>
  <si>
    <t>Ф-24/0,5/5</t>
  </si>
  <si>
    <t>Садовая решетка 0.5</t>
  </si>
  <si>
    <t>24*24</t>
  </si>
  <si>
    <t>Ф-24/0,5/10</t>
  </si>
  <si>
    <t>0,5*10</t>
  </si>
  <si>
    <t>Ф-24/0,5/20</t>
  </si>
  <si>
    <t>0,5*20</t>
  </si>
  <si>
    <t>Теплицы</t>
  </si>
  <si>
    <t>Чехол</t>
  </si>
  <si>
    <t>ТМТ-300/45/65-ПЭ</t>
  </si>
  <si>
    <t>Мини-тоннель складной</t>
  </si>
  <si>
    <t>П/Э пленка</t>
  </si>
  <si>
    <t>10 пакетов в коробке</t>
  </si>
  <si>
    <t>ТМТ-300/45/65-СЛ</t>
  </si>
  <si>
    <t>Спанбнд</t>
  </si>
  <si>
    <t>ТМТ-300/45/65-СМ</t>
  </si>
  <si>
    <t>Сетка москитная</t>
  </si>
  <si>
    <t>ТП-180/90/70-ПВХ</t>
  </si>
  <si>
    <t>Парник (с 2-мя окнами на замке-молнии)</t>
  </si>
  <si>
    <t>ПВХ пленка</t>
  </si>
  <si>
    <t>180*90*70 см</t>
  </si>
  <si>
    <t>1 шт. в коробке</t>
  </si>
  <si>
    <t>ТП-270/90/70-ПВХ</t>
  </si>
  <si>
    <t>Парник (с 3-мя окнами на замке-молнии)</t>
  </si>
  <si>
    <t>270*90*70 см</t>
  </si>
  <si>
    <t>ТП-360/90/70-ПВХ</t>
  </si>
  <si>
    <t>Парник (с 4-мя окнами на замке-молнии)</t>
  </si>
  <si>
    <t>360*90*70 см</t>
  </si>
  <si>
    <t>ТТ-300/185/220-Арм</t>
  </si>
  <si>
    <t>Теплица (с дверью на замке-молнии)</t>
  </si>
  <si>
    <t>Армированная пленка</t>
  </si>
  <si>
    <t>300x185x220 см</t>
  </si>
  <si>
    <t>ТТ-300/190/190-Арм</t>
  </si>
  <si>
    <t>Теплица (с дверью на замке-молнии и 4-мя окнами)</t>
  </si>
  <si>
    <t>300x190x190 см</t>
  </si>
  <si>
    <t>Сетки для притенения</t>
  </si>
  <si>
    <t>ФУ-50/4/50</t>
  </si>
  <si>
    <t>Защитная сетка (усиленный край, петли) 50 гр/м2</t>
  </si>
  <si>
    <t>рулон ( ширина 2 м.)</t>
  </si>
  <si>
    <t>ФУ-80/4/50</t>
  </si>
  <si>
    <t>Защитная сетка (усиленный край, петли) 80 гр/м2</t>
  </si>
  <si>
    <t>Темно-Зеленый</t>
  </si>
  <si>
    <t>ФУ-80/2/50</t>
  </si>
  <si>
    <t>рулон (ширина 2м.)</t>
  </si>
  <si>
    <t>Сетка для защиты строительных лесов                       Фасад 50 ( усиленный край, петли)</t>
  </si>
  <si>
    <t>рулон (ширина 2 м.)</t>
  </si>
  <si>
    <t>СС-65/1/45</t>
  </si>
  <si>
    <t>Стеклосетка штукатурная          65 гр.</t>
  </si>
  <si>
    <t>Веха пластиковая оранжевая 1,2</t>
  </si>
  <si>
    <t>Веха пластиковая  1,2 м с крючком</t>
  </si>
  <si>
    <t>Веха пластиковая оранжевая 1,5 м</t>
  </si>
  <si>
    <t>Веха пластиковая оранжевая 2 м</t>
  </si>
  <si>
    <t>h – 1200 мм  d - 40 мм</t>
  </si>
  <si>
    <t>h – 1500 мм  d - 40 мм</t>
  </si>
  <si>
    <t>h – 2000 мм  d - 40 мм</t>
  </si>
  <si>
    <t>Барьер водоналивной  вкладывающийся (БВВ-2.0)</t>
  </si>
  <si>
    <t>Буфер дорожный разделительный</t>
  </si>
  <si>
    <t>Маска для буфера дорожного</t>
  </si>
  <si>
    <t>Буфер дорожный осевой</t>
  </si>
  <si>
    <t>Маска для буфера осевого</t>
  </si>
  <si>
    <t>Барьер водоналивной  вкладывающийся (БВВ-1,2)</t>
  </si>
  <si>
    <t>920*1200*1250 мм</t>
  </si>
  <si>
    <t>d-900 мм</t>
  </si>
  <si>
    <t>1115*1240 (1340) мм</t>
  </si>
  <si>
    <t>Д-33/4/50</t>
  </si>
  <si>
    <t xml:space="preserve">ОРЛ-5/210 </t>
  </si>
  <si>
    <t>ОРЛК-5/210</t>
  </si>
  <si>
    <t>ОРЛ-9/210</t>
  </si>
  <si>
    <t xml:space="preserve">ОРЛ-13/210 </t>
  </si>
  <si>
    <t xml:space="preserve">Георешетка полимерная </t>
  </si>
  <si>
    <t xml:space="preserve">модуль в пленке  </t>
  </si>
  <si>
    <t>модуль  в пленке + 23 колышка</t>
  </si>
  <si>
    <t>Ф-17/1/10</t>
  </si>
  <si>
    <t>Садовая решетка 17*17   10м.</t>
  </si>
  <si>
    <t>17*17</t>
  </si>
  <si>
    <t>Ф-17/1/20</t>
  </si>
  <si>
    <t>Садовая решетка 17*17   20м.</t>
  </si>
  <si>
    <t>Ф-60/1/10</t>
  </si>
  <si>
    <t>Садовая решетка 50*60  10 м.</t>
  </si>
  <si>
    <t>50*60</t>
  </si>
  <si>
    <t>Ф-60/1/20</t>
  </si>
  <si>
    <t>Садовая решетка 50*60  20 м.</t>
  </si>
  <si>
    <t>Ф-90/1/10</t>
  </si>
  <si>
    <t>Садовая решетка 90*100  10м.</t>
  </si>
  <si>
    <t>90*100</t>
  </si>
  <si>
    <t>Ф-90/1/20</t>
  </si>
  <si>
    <t>Садовая решетка 90*100  20м.</t>
  </si>
  <si>
    <t>Сетка для защиты саженцев с хомутами</t>
  </si>
  <si>
    <t>5*2</t>
  </si>
  <si>
    <t>8*1</t>
  </si>
  <si>
    <t>Ф-150/1,7/500</t>
  </si>
  <si>
    <t>1,7*500</t>
  </si>
  <si>
    <t>ПМ/0,95/10</t>
  </si>
  <si>
    <t>ДМ-10/1/10</t>
  </si>
  <si>
    <t>300*65*45 см</t>
  </si>
  <si>
    <t>Стеклосетка штукатурная        70 гр.</t>
  </si>
  <si>
    <t>Зеленый, хаки, хаки-зеленый</t>
  </si>
  <si>
    <r>
      <t xml:space="preserve">«Солдатик» </t>
    </r>
    <r>
      <rPr>
        <sz val="11"/>
        <rFont val="Times New Roman"/>
        <family val="1"/>
      </rPr>
      <t>для вертик. разметки</t>
    </r>
  </si>
  <si>
    <t>ФУ-50/4/10</t>
  </si>
  <si>
    <t>Сетка для притенения</t>
  </si>
  <si>
    <t>4*10</t>
  </si>
  <si>
    <t>Плиты для закрытия кабельных сетей «Осторожно кабель!»</t>
  </si>
  <si>
    <t>ПЗК Плита для закрытия кабеля 240*480*16</t>
  </si>
  <si>
    <t>240*480*16 мм</t>
  </si>
  <si>
    <t>ПЗК Плита для закрытия кабеля 360*480*16</t>
  </si>
  <si>
    <t>360*480*16 мм</t>
  </si>
  <si>
    <t>ПЗК Плита для закрытия кабеля 480*480*16</t>
  </si>
  <si>
    <t>480*480*16 мм</t>
  </si>
  <si>
    <t>Лента разметочная клеевая (черно-желтая)</t>
  </si>
  <si>
    <t>75 мм * 495 м.п.</t>
  </si>
  <si>
    <t>Лента разметочная клеевая (красно-белая)</t>
  </si>
  <si>
    <t>50 мм * 25 м.п.</t>
  </si>
  <si>
    <t>Шуруп с полукольцом</t>
  </si>
  <si>
    <t>4*40 мм</t>
  </si>
  <si>
    <t>ФУ-30/4/100</t>
  </si>
  <si>
    <t>ФУ-35/4/100</t>
  </si>
  <si>
    <t>ФВ-50/4/100</t>
  </si>
  <si>
    <t>ФВ-72/3/50</t>
  </si>
  <si>
    <t xml:space="preserve">рулон </t>
  </si>
  <si>
    <t>Х 3-200</t>
  </si>
  <si>
    <t>3*200</t>
  </si>
  <si>
    <t>Х 4-250</t>
  </si>
  <si>
    <t>4*250</t>
  </si>
  <si>
    <t>ПА-200/5/50</t>
  </si>
  <si>
    <t>Сеть маскировочная  Стандарт на сетевой основе</t>
  </si>
  <si>
    <t>Зеленый, бежевый</t>
  </si>
  <si>
    <t>2,4*78</t>
  </si>
  <si>
    <t>ЭСМ-3</t>
  </si>
  <si>
    <t>Сеть маскировочная  Экон-М "Британия"</t>
  </si>
  <si>
    <t>1,5*3</t>
  </si>
  <si>
    <t>ЭСМ-6</t>
  </si>
  <si>
    <t>1,5*6</t>
  </si>
  <si>
    <t>Сеть маскировочная Экон-профи на сетевой основе</t>
  </si>
  <si>
    <t>Зеленый, зелено-коричневый</t>
  </si>
  <si>
    <t>ЭС-3П6</t>
  </si>
  <si>
    <t>СЛ-100/160/200</t>
  </si>
  <si>
    <t>Спанбонд 100 г/м2</t>
  </si>
  <si>
    <t>У-45/2/100</t>
  </si>
  <si>
    <t>Универсал</t>
  </si>
  <si>
    <t>45*45</t>
  </si>
  <si>
    <t>ТПЕ-120/2/50</t>
  </si>
  <si>
    <t>Тентовое полотно</t>
  </si>
  <si>
    <t>зеленый</t>
  </si>
  <si>
    <t>ТПЕ-180/2/50</t>
  </si>
  <si>
    <t>Под заказ могут поставляться тенты других размеров.</t>
  </si>
  <si>
    <t>Лента гидроизоляционная</t>
  </si>
  <si>
    <t>Толщина, мм</t>
  </si>
  <si>
    <t>ЛГ/1/0,25/10</t>
  </si>
  <si>
    <t>1,15 мм</t>
  </si>
  <si>
    <t>0,25*10м</t>
  </si>
  <si>
    <t>ЛГ/1/0,25/50</t>
  </si>
  <si>
    <t>0,25*50м</t>
  </si>
  <si>
    <t>ЛГ/1/0,5/10</t>
  </si>
  <si>
    <t>0,5*10 м</t>
  </si>
  <si>
    <t xml:space="preserve">ЛГ/1/0,5/50 </t>
  </si>
  <si>
    <t>0,5*50 м</t>
  </si>
  <si>
    <t>Электронные маркеры</t>
  </si>
  <si>
    <t>Глубина закладки, м</t>
  </si>
  <si>
    <t>Частота кГц</t>
  </si>
  <si>
    <t>Ед.изм.</t>
  </si>
  <si>
    <t>OmniMаrker 160 (для силовых кабелей) сферический</t>
  </si>
  <si>
    <t>Красный</t>
  </si>
  <si>
    <t>диам. 11,4 см</t>
  </si>
  <si>
    <t>OmniMаrker 161 (для водопровода) сферический</t>
  </si>
  <si>
    <t>Голубой</t>
  </si>
  <si>
    <t>OmniMаrker 162 (для канализации) сферический</t>
  </si>
  <si>
    <t>OmniMаrker 163 (для кабелей связи) сферический</t>
  </si>
  <si>
    <t>OmniMаrker 164 (для газопровода) сферический</t>
  </si>
  <si>
    <t>OmniMаrker 165 (для кабельного ТВ) сферический</t>
  </si>
  <si>
    <t>Оранжево-черный</t>
  </si>
  <si>
    <t xml:space="preserve">Маркероискатель Tempo Marker-Mate EML-100 </t>
  </si>
  <si>
    <t>СТ-1</t>
  </si>
  <si>
    <t>Столбик стационарный для бетонирования</t>
  </si>
  <si>
    <t>Стальной  со светоотражающей полосой</t>
  </si>
  <si>
    <t>Диаметр 76 мм. Высота 850 мм.</t>
  </si>
  <si>
    <t>Декоративная накладка "юбка"  для столбика стационарного</t>
  </si>
  <si>
    <t>Стальной</t>
  </si>
  <si>
    <t>Диаметр 108 мм. Высота 70 мм.</t>
  </si>
  <si>
    <t>СТА-1</t>
  </si>
  <si>
    <t>Столбик стационарный для крепления на анкерах (4 отв.)</t>
  </si>
  <si>
    <t>СТС-1</t>
  </si>
  <si>
    <t>Столбик съемный со "стаканом"</t>
  </si>
  <si>
    <t>СТС-4</t>
  </si>
  <si>
    <t>Столбик складной с внутренним замком (4 отв)</t>
  </si>
  <si>
    <t>СТП-1</t>
  </si>
  <si>
    <t>Столбик переносной с круглым  основанием</t>
  </si>
  <si>
    <t>Диаметр 76 мм. Высота 850 мм. Диаметр основания 280 мм. Вес 12 кг.</t>
  </si>
  <si>
    <t>Б-35-500</t>
  </si>
  <si>
    <t>Барьер складной</t>
  </si>
  <si>
    <t xml:space="preserve">Диаметр трубы 35 мм. Ширина 500мм.         Высота 500мм. </t>
  </si>
  <si>
    <t>Б-50-500</t>
  </si>
  <si>
    <t xml:space="preserve">Диаметр трубы 50 мм. Ширина 550мм.               Высота 500мм. </t>
  </si>
  <si>
    <t>Б-50-800</t>
  </si>
  <si>
    <t xml:space="preserve">Диаметр трубы 50 мм. Ширина 800мм.               Высота 500мм. </t>
  </si>
  <si>
    <t>Комплект колец для цепи</t>
  </si>
  <si>
    <t>Диаметр М8</t>
  </si>
  <si>
    <t>Карабин оцинкованный</t>
  </si>
  <si>
    <t>Длина звена 6 мм, раскрытие 8 мм</t>
  </si>
  <si>
    <t>Цепь оцинкованная</t>
  </si>
  <si>
    <t>Диаметр 6 мм, длина звена внутр. 42 мм</t>
  </si>
  <si>
    <t>бухта 18 м.</t>
  </si>
  <si>
    <t>Навесной замок  (3 ключа)</t>
  </si>
  <si>
    <t>Фонарь дорожный оградительный (красный, желтый) без батарейки</t>
  </si>
  <si>
    <t>Геомембрана, изоляционный полимерный лист, полиэтилен (ПЭВД, ПЭНД)*</t>
  </si>
  <si>
    <t>HDPE 1.0 Г</t>
  </si>
  <si>
    <t xml:space="preserve">Геомембрана HDPE 1.0 мм </t>
  </si>
  <si>
    <t xml:space="preserve"> /</t>
  </si>
  <si>
    <t>HDPE 1.5 Г</t>
  </si>
  <si>
    <t xml:space="preserve">Геомембрана  HDPE 1.5 мм </t>
  </si>
  <si>
    <t>HDPE 2.0 Г</t>
  </si>
  <si>
    <t xml:space="preserve">Геомембрана HDPE 2.0 мм </t>
  </si>
  <si>
    <t>HDPE 2.5 Г</t>
  </si>
  <si>
    <t xml:space="preserve">Геомембрана  HDPE 2.5 мм </t>
  </si>
  <si>
    <t>LLDPE 1.0 Г</t>
  </si>
  <si>
    <t xml:space="preserve">Геомембрана  LLDPE 1.0 мм </t>
  </si>
  <si>
    <t>LLDPE 1.5 Г</t>
  </si>
  <si>
    <t xml:space="preserve">Геомембрана  LLDPE 1.5 мм </t>
  </si>
  <si>
    <t>LLDPE 2.0 Г</t>
  </si>
  <si>
    <t xml:space="preserve">Геомембрана LLDPE 2.0 мм </t>
  </si>
  <si>
    <t>LLDPE 2.5 Г</t>
  </si>
  <si>
    <t xml:space="preserve">Геомембрана  LLDPE 2.5 мм </t>
  </si>
  <si>
    <t>Цена действительна на складе в г.Переславле</t>
  </si>
  <si>
    <t>З-50/1,6/20</t>
  </si>
  <si>
    <t>Декоративный забор 1.6</t>
  </si>
  <si>
    <t>1,6*20</t>
  </si>
  <si>
    <t>ТПЕ-120/2/10</t>
  </si>
  <si>
    <t>зелено-серебристый, сине-серебристый</t>
  </si>
  <si>
    <t>ТПЕ-120/5/6</t>
  </si>
  <si>
    <t>5*6</t>
  </si>
  <si>
    <t>ТПЕ-120/10/20</t>
  </si>
  <si>
    <t>10*20</t>
  </si>
  <si>
    <t>ТПЕ-120/15/15</t>
  </si>
  <si>
    <t>ТПЕ-120/15/20</t>
  </si>
  <si>
    <t>15*20</t>
  </si>
  <si>
    <t>Анкерный болт</t>
  </si>
  <si>
    <t>d 6, l - 50 мм</t>
  </si>
  <si>
    <t>d 10, l - 100 мм</t>
  </si>
  <si>
    <t>d 10, l - 120 мм</t>
  </si>
  <si>
    <t>d 12, l - 100 мм</t>
  </si>
  <si>
    <t>d 12, l - 120 мм</t>
  </si>
  <si>
    <t>Шуруп-глухарь</t>
  </si>
  <si>
    <t>Дюбель пластиковый</t>
  </si>
  <si>
    <t>d 14, l - 80 мм</t>
  </si>
  <si>
    <t>d 14, l - 100 мм</t>
  </si>
  <si>
    <t>d 16, l - 80 мм</t>
  </si>
  <si>
    <t>d 16, l - 100 мм</t>
  </si>
  <si>
    <t>Барьер водоналивной  (БВ-1,2)  со светоотражающей полосой</t>
  </si>
  <si>
    <t>Барьер водоналивной  вкладывающийся (БВВ-1,2) со светоотражающей полосой</t>
  </si>
  <si>
    <t>1200*500*700 мм</t>
  </si>
  <si>
    <t>Барьер водоналивной (БВ-2.0)  со светоотражающей полосой</t>
  </si>
  <si>
    <t>Барьер водоналивной  вкладывающийся (БВВ-2.0) со светоотражающей полосой</t>
  </si>
  <si>
    <t>2000*500*700 мм</t>
  </si>
  <si>
    <t>Преобразователь 220/12 В (до 35 фонарей)</t>
  </si>
  <si>
    <t>Преобразователь 220/12 В (до 70 фонарей)</t>
  </si>
  <si>
    <t>Гирлянда из фонарей ФС-12</t>
  </si>
  <si>
    <t>просчитывается индивидуально</t>
  </si>
  <si>
    <t>КМС-6/300</t>
  </si>
  <si>
    <t>ФК-12/0,9/15</t>
  </si>
  <si>
    <t xml:space="preserve">Садовая решетка 12*12 С КРОМКОЙ  15м. </t>
  </si>
  <si>
    <t>12*12</t>
  </si>
  <si>
    <t>0,9*15</t>
  </si>
  <si>
    <t>ФК-22/0,9/15</t>
  </si>
  <si>
    <t xml:space="preserve">Садовая решетка 22*22 С КРОМКОЙ  15м. </t>
  </si>
  <si>
    <t>22*22</t>
  </si>
  <si>
    <t>0,9 * 15</t>
  </si>
  <si>
    <t>ФК-47/0,9/15</t>
  </si>
  <si>
    <t xml:space="preserve">Садовая решетка 47*47 С КРОМКОЙ  15м. </t>
  </si>
  <si>
    <t>47*47</t>
  </si>
  <si>
    <t>Цена</t>
  </si>
  <si>
    <t>цена</t>
  </si>
  <si>
    <t>Самара, ул. 22 Партсъезда, дом 41, оф.225
т. (846) 99-003-88, 99-007-99
www.greenbaza.ru, greenbaza@bk.ru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</si>
</sst>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;[Red]#,##0"/>
    <numFmt numFmtId="167" formatCode="#,##0.00&quot;р.&quot;"/>
    <numFmt numFmtId="168" formatCode="#,##0&quot;р.&quot;"/>
    <numFmt numFmtId="169" formatCode="0.00;[Red]0.00"/>
    <numFmt numFmtId="170" formatCode="0;[Red]0"/>
    <numFmt numFmtId="171" formatCode="0.000000"/>
    <numFmt numFmtId="172" formatCode="0.0%"/>
    <numFmt numFmtId="173" formatCode="_-* #,##0\ &quot;р.&quot;_-;\-* #,##0\ &quot;р.&quot;_-;_-* &quot;-&quot;\ &quot;р.&quot;_-;_-@_-"/>
    <numFmt numFmtId="174" formatCode="[$-FC19]d\ mmmm\ yyyy\ &quot;г.&quot;"/>
    <numFmt numFmtId="175" formatCode="#,##0.0"/>
    <numFmt numFmtId="176" formatCode="0.0000"/>
  </numFmts>
  <fonts count="156">
    <font>
      <sz val="10"/>
      <name val="Arial Cyr"/>
      <family val="0"/>
    </font>
    <font>
      <sz val="11"/>
      <color indexed="8"/>
      <name val="Verdan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 Cyr"/>
      <family val="0"/>
    </font>
    <font>
      <b/>
      <sz val="26"/>
      <name val="Arial"/>
      <family val="2"/>
    </font>
    <font>
      <b/>
      <vertAlign val="superscript"/>
      <sz val="12"/>
      <name val="Arial"/>
      <family val="2"/>
    </font>
    <font>
      <sz val="14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24"/>
      <name val="Times New Roman"/>
      <family val="1"/>
    </font>
    <font>
      <sz val="24"/>
      <name val="Arial Cyr"/>
      <family val="0"/>
    </font>
    <font>
      <u val="single"/>
      <sz val="1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Times New Roman"/>
      <family val="1"/>
    </font>
    <font>
      <sz val="16"/>
      <name val="Arial Cyr"/>
      <family val="0"/>
    </font>
    <font>
      <sz val="11"/>
      <name val="Arial Cyr"/>
      <family val="0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i/>
      <u val="single"/>
      <sz val="11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vertAlign val="superscript"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name val="Arial Cyr"/>
      <family val="0"/>
    </font>
    <font>
      <vertAlign val="superscript"/>
      <sz val="16"/>
      <name val="Times New Roman"/>
      <family val="1"/>
    </font>
    <font>
      <b/>
      <sz val="11"/>
      <name val="Arial Cyr"/>
      <family val="0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9"/>
      <name val="Times New Roman"/>
      <family val="1"/>
    </font>
    <font>
      <sz val="14"/>
      <name val="Arial Cyr"/>
      <family val="0"/>
    </font>
    <font>
      <b/>
      <sz val="9"/>
      <color indexed="10"/>
      <name val="Arial"/>
      <family val="2"/>
    </font>
    <font>
      <sz val="11"/>
      <name val="Calibri"/>
      <family val="2"/>
    </font>
    <font>
      <b/>
      <sz val="7"/>
      <name val="Times New Roman"/>
      <family val="1"/>
    </font>
    <font>
      <sz val="11"/>
      <color indexed="9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b/>
      <sz val="15"/>
      <color indexed="63"/>
      <name val="Verdana"/>
      <family val="2"/>
    </font>
    <font>
      <b/>
      <sz val="13"/>
      <color indexed="63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8"/>
      <color indexed="63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i/>
      <sz val="11"/>
      <color indexed="23"/>
      <name val="Verdana"/>
      <family val="2"/>
    </font>
    <font>
      <sz val="11"/>
      <color indexed="52"/>
      <name val="Verdana"/>
      <family val="2"/>
    </font>
    <font>
      <sz val="11"/>
      <color indexed="10"/>
      <name val="Verdana"/>
      <family val="2"/>
    </font>
    <font>
      <sz val="11"/>
      <color indexed="17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6"/>
      <color indexed="10"/>
      <name val="Verdana"/>
      <family val="2"/>
    </font>
    <font>
      <sz val="10"/>
      <color indexed="10"/>
      <name val="Arial"/>
      <family val="2"/>
    </font>
    <font>
      <sz val="12"/>
      <color indexed="10"/>
      <name val="Verdana"/>
      <family val="2"/>
    </font>
    <font>
      <sz val="10"/>
      <color indexed="10"/>
      <name val="Times New Roman"/>
      <family val="1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 Cyr"/>
      <family val="0"/>
    </font>
    <font>
      <sz val="16"/>
      <color indexed="10"/>
      <name val="Arial Cyr"/>
      <family val="0"/>
    </font>
    <font>
      <sz val="12"/>
      <color indexed="10"/>
      <name val="Arial Cyr"/>
      <family val="0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9"/>
      <color indexed="10"/>
      <name val="Arial"/>
      <family val="2"/>
    </font>
    <font>
      <sz val="14"/>
      <color indexed="10"/>
      <name val="Verdana"/>
      <family val="2"/>
    </font>
    <font>
      <sz val="9"/>
      <color indexed="10"/>
      <name val="Times New Roman"/>
      <family val="1"/>
    </font>
    <font>
      <b/>
      <sz val="9"/>
      <color indexed="10"/>
      <name val="Verdana"/>
      <family val="2"/>
    </font>
    <font>
      <sz val="10"/>
      <color indexed="10"/>
      <name val="Arial Cyr"/>
      <family val="0"/>
    </font>
    <font>
      <b/>
      <sz val="11"/>
      <color indexed="10"/>
      <name val="Verdana"/>
      <family val="2"/>
    </font>
    <font>
      <sz val="11"/>
      <color indexed="10"/>
      <name val="Times New Roman"/>
      <family val="1"/>
    </font>
    <font>
      <b/>
      <sz val="16"/>
      <color indexed="10"/>
      <name val="Arial"/>
      <family val="2"/>
    </font>
    <font>
      <b/>
      <sz val="16"/>
      <name val="Verdana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Verdana"/>
      <family val="2"/>
    </font>
    <font>
      <b/>
      <sz val="16"/>
      <color indexed="10"/>
      <name val="Calibri"/>
      <family val="2"/>
    </font>
    <font>
      <b/>
      <sz val="14"/>
      <name val="Verdana"/>
      <family val="2"/>
    </font>
    <font>
      <b/>
      <sz val="18"/>
      <name val="Verdana"/>
      <family val="2"/>
    </font>
    <font>
      <b/>
      <sz val="9"/>
      <name val="Verdana"/>
      <family val="2"/>
    </font>
    <font>
      <b/>
      <sz val="20"/>
      <color indexed="8"/>
      <name val="Verdana"/>
      <family val="2"/>
    </font>
    <font>
      <b/>
      <sz val="14"/>
      <name val="Arial Cyr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8"/>
      <color theme="3"/>
      <name val="Verdana"/>
      <family val="2"/>
    </font>
    <font>
      <sz val="11"/>
      <color rgb="FF9C6500"/>
      <name val="Verdana"/>
      <family val="2"/>
    </font>
    <font>
      <sz val="11"/>
      <color rgb="FF9C0006"/>
      <name val="Verdana"/>
      <family val="2"/>
    </font>
    <font>
      <i/>
      <sz val="11"/>
      <color rgb="FF7F7F7F"/>
      <name val="Verdana"/>
      <family val="2"/>
    </font>
    <font>
      <sz val="11"/>
      <color rgb="FFFA7D00"/>
      <name val="Verdana"/>
      <family val="2"/>
    </font>
    <font>
      <sz val="11"/>
      <color rgb="FFFF0000"/>
      <name val="Verdana"/>
      <family val="2"/>
    </font>
    <font>
      <sz val="11"/>
      <color rgb="FF006100"/>
      <name val="Verdana"/>
      <family val="2"/>
    </font>
    <font>
      <sz val="16"/>
      <color rgb="FFFF0000"/>
      <name val="Verdana"/>
      <family val="2"/>
    </font>
    <font>
      <sz val="10"/>
      <color rgb="FFFF0000"/>
      <name val="Arial"/>
      <family val="2"/>
    </font>
    <font>
      <sz val="12"/>
      <color rgb="FFFF0000"/>
      <name val="Verdana"/>
      <family val="2"/>
    </font>
    <font>
      <sz val="10"/>
      <color rgb="FFFF0000"/>
      <name val="Times New Roman"/>
      <family val="1"/>
    </font>
    <font>
      <sz val="16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 Cyr"/>
      <family val="0"/>
    </font>
    <font>
      <sz val="16"/>
      <color rgb="FFFF0000"/>
      <name val="Arial Cyr"/>
      <family val="0"/>
    </font>
    <font>
      <sz val="12"/>
      <color rgb="FFFF0000"/>
      <name val="Arial Cyr"/>
      <family val="0"/>
    </font>
    <font>
      <sz val="12"/>
      <color theme="1"/>
      <name val="Arial"/>
      <family val="2"/>
    </font>
    <font>
      <b/>
      <sz val="9"/>
      <color rgb="FFFF0000"/>
      <name val="Arial"/>
      <family val="2"/>
    </font>
    <font>
      <sz val="14"/>
      <color rgb="FFFF0000"/>
      <name val="Arial"/>
      <family val="2"/>
    </font>
    <font>
      <sz val="9"/>
      <color rgb="FFFF0000"/>
      <name val="Arial"/>
      <family val="2"/>
    </font>
    <font>
      <sz val="14"/>
      <color rgb="FFFF0000"/>
      <name val="Verdana"/>
      <family val="2"/>
    </font>
    <font>
      <sz val="9"/>
      <color rgb="FFFF0000"/>
      <name val="Times New Roman"/>
      <family val="1"/>
    </font>
    <font>
      <b/>
      <sz val="9"/>
      <color rgb="FFFF0000"/>
      <name val="Verdana"/>
      <family val="2"/>
    </font>
    <font>
      <sz val="10"/>
      <color rgb="FFFF0000"/>
      <name val="Arial Cyr"/>
      <family val="0"/>
    </font>
    <font>
      <b/>
      <sz val="11"/>
      <color rgb="FFFF0000"/>
      <name val="Verdana"/>
      <family val="2"/>
    </font>
    <font>
      <sz val="11"/>
      <color rgb="FFFF0000"/>
      <name val="Times New Roman"/>
      <family val="1"/>
    </font>
    <font>
      <b/>
      <sz val="16"/>
      <color rgb="FFFF0000"/>
      <name val="Arial"/>
      <family val="2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Verdana"/>
      <family val="2"/>
    </font>
    <font>
      <b/>
      <sz val="16"/>
      <color rgb="FFFF0000"/>
      <name val="Calibri"/>
      <family val="2"/>
    </font>
    <font>
      <b/>
      <sz val="20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/>
      <right style="thin"/>
      <top style="thin"/>
      <bottom>
        <color indexed="63"/>
      </bottom>
    </border>
    <border>
      <left/>
      <right style="medium"/>
      <top style="thin"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5" fillId="26" borderId="1" applyNumberFormat="0" applyAlignment="0" applyProtection="0"/>
    <xf numFmtId="0" fontId="116" fillId="27" borderId="2" applyNumberFormat="0" applyAlignment="0" applyProtection="0"/>
    <xf numFmtId="0" fontId="11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6" applyNumberFormat="0" applyFill="0" applyAlignment="0" applyProtection="0"/>
    <xf numFmtId="0" fontId="122" fillId="28" borderId="7" applyNumberFormat="0" applyAlignment="0" applyProtection="0"/>
    <xf numFmtId="0" fontId="123" fillId="0" borderId="0" applyNumberFormat="0" applyFill="0" applyBorder="0" applyAlignment="0" applyProtection="0"/>
    <xf numFmtId="0" fontId="12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30" borderId="0" applyNumberFormat="0" applyBorder="0" applyAlignment="0" applyProtection="0"/>
    <xf numFmtId="0" fontId="12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7" fillId="0" borderId="9" applyNumberFormat="0" applyFill="0" applyAlignment="0" applyProtection="0"/>
    <xf numFmtId="0" fontId="1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9" fillId="32" borderId="0" applyNumberFormat="0" applyBorder="0" applyAlignment="0" applyProtection="0"/>
  </cellStyleXfs>
  <cellXfs count="2449">
    <xf numFmtId="0" fontId="0" fillId="0" borderId="0" xfId="0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10" fillId="33" borderId="13" xfId="0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1" fontId="20" fillId="0" borderId="0" xfId="0" applyNumberFormat="1" applyFont="1" applyFill="1" applyBorder="1" applyAlignment="1">
      <alignment horizontal="center" wrapText="1"/>
    </xf>
    <xf numFmtId="0" fontId="20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center" wrapText="1"/>
    </xf>
    <xf numFmtId="1" fontId="21" fillId="34" borderId="0" xfId="0" applyNumberFormat="1" applyFont="1" applyFill="1" applyBorder="1" applyAlignment="1">
      <alignment horizontal="center" wrapText="1"/>
    </xf>
    <xf numFmtId="1" fontId="20" fillId="34" borderId="0" xfId="0" applyNumberFormat="1" applyFont="1" applyFill="1" applyBorder="1" applyAlignment="1">
      <alignment horizontal="center" wrapText="1"/>
    </xf>
    <xf numFmtId="2" fontId="21" fillId="34" borderId="0" xfId="0" applyNumberFormat="1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10" fillId="33" borderId="17" xfId="0" applyFont="1" applyFill="1" applyBorder="1" applyAlignment="1">
      <alignment horizontal="left" wrapText="1"/>
    </xf>
    <xf numFmtId="0" fontId="10" fillId="33" borderId="18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1" fontId="10" fillId="33" borderId="20" xfId="0" applyNumberFormat="1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left" wrapText="1"/>
    </xf>
    <xf numFmtId="0" fontId="10" fillId="33" borderId="20" xfId="0" applyFont="1" applyFill="1" applyBorder="1" applyAlignment="1">
      <alignment horizontal="left" wrapText="1"/>
    </xf>
    <xf numFmtId="0" fontId="9" fillId="33" borderId="19" xfId="0" applyFont="1" applyFill="1" applyBorder="1" applyAlignment="1">
      <alignment horizontal="center" wrapText="1"/>
    </xf>
    <xf numFmtId="1" fontId="10" fillId="33" borderId="21" xfId="0" applyNumberFormat="1" applyFont="1" applyFill="1" applyBorder="1" applyAlignment="1">
      <alignment horizontal="center" wrapText="1"/>
    </xf>
    <xf numFmtId="0" fontId="21" fillId="33" borderId="22" xfId="0" applyFont="1" applyFill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9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" fontId="22" fillId="0" borderId="28" xfId="0" applyNumberFormat="1" applyFont="1" applyFill="1" applyBorder="1" applyAlignment="1">
      <alignment horizontal="center" wrapText="1"/>
    </xf>
    <xf numFmtId="1" fontId="22" fillId="0" borderId="29" xfId="0" applyNumberFormat="1" applyFont="1" applyFill="1" applyBorder="1" applyAlignment="1">
      <alignment horizontal="center" wrapText="1"/>
    </xf>
    <xf numFmtId="2" fontId="22" fillId="0" borderId="30" xfId="0" applyNumberFormat="1" applyFont="1" applyFill="1" applyBorder="1" applyAlignment="1">
      <alignment horizontal="center" wrapText="1"/>
    </xf>
    <xf numFmtId="2" fontId="22" fillId="0" borderId="31" xfId="0" applyNumberFormat="1" applyFont="1" applyFill="1" applyBorder="1" applyAlignment="1">
      <alignment horizontal="center" wrapText="1"/>
    </xf>
    <xf numFmtId="1" fontId="22" fillId="0" borderId="32" xfId="0" applyNumberFormat="1" applyFont="1" applyFill="1" applyBorder="1" applyAlignment="1">
      <alignment horizontal="center" wrapText="1"/>
    </xf>
    <xf numFmtId="1" fontId="22" fillId="0" borderId="24" xfId="0" applyNumberFormat="1" applyFont="1" applyFill="1" applyBorder="1" applyAlignment="1">
      <alignment horizontal="center" wrapText="1"/>
    </xf>
    <xf numFmtId="2" fontId="22" fillId="0" borderId="33" xfId="0" applyNumberFormat="1" applyFont="1" applyFill="1" applyBorder="1" applyAlignment="1">
      <alignment horizontal="center" wrapText="1"/>
    </xf>
    <xf numFmtId="1" fontId="22" fillId="0" borderId="34" xfId="0" applyNumberFormat="1" applyFont="1" applyFill="1" applyBorder="1" applyAlignment="1">
      <alignment horizontal="center" wrapText="1"/>
    </xf>
    <xf numFmtId="1" fontId="22" fillId="0" borderId="23" xfId="0" applyNumberFormat="1" applyFont="1" applyFill="1" applyBorder="1" applyAlignment="1">
      <alignment horizontal="center" wrapText="1"/>
    </xf>
    <xf numFmtId="2" fontId="22" fillId="0" borderId="35" xfId="0" applyNumberFormat="1" applyFont="1" applyFill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1" fontId="22" fillId="0" borderId="36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22" fillId="0" borderId="24" xfId="0" applyFont="1" applyBorder="1" applyAlignment="1">
      <alignment horizontal="left" wrapText="1"/>
    </xf>
    <xf numFmtId="0" fontId="22" fillId="0" borderId="25" xfId="0" applyFont="1" applyBorder="1" applyAlignment="1">
      <alignment horizontal="left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22" fillId="0" borderId="27" xfId="0" applyFont="1" applyBorder="1" applyAlignment="1">
      <alignment horizontal="left" wrapText="1"/>
    </xf>
    <xf numFmtId="0" fontId="22" fillId="0" borderId="37" xfId="0" applyFont="1" applyBorder="1" applyAlignment="1">
      <alignment horizontal="center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center" wrapText="1"/>
    </xf>
    <xf numFmtId="169" fontId="18" fillId="0" borderId="0" xfId="0" applyNumberFormat="1" applyFont="1" applyFill="1" applyBorder="1" applyAlignment="1">
      <alignment horizontal="center" vertical="center" wrapText="1"/>
    </xf>
    <xf numFmtId="169" fontId="23" fillId="0" borderId="0" xfId="0" applyNumberFormat="1" applyFont="1" applyAlignment="1">
      <alignment/>
    </xf>
    <xf numFmtId="169" fontId="18" fillId="0" borderId="0" xfId="0" applyNumberFormat="1" applyFont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39" xfId="0" applyFont="1" applyFill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0" fontId="27" fillId="0" borderId="0" xfId="42" applyFont="1" applyAlignment="1" applyProtection="1">
      <alignment horizontal="left"/>
      <protection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8" fillId="0" borderId="0" xfId="42" applyFont="1" applyAlignment="1" applyProtection="1">
      <alignment horizontal="left"/>
      <protection/>
    </xf>
    <xf numFmtId="0" fontId="29" fillId="0" borderId="0" xfId="0" applyFont="1" applyAlignment="1">
      <alignment horizontal="left"/>
    </xf>
    <xf numFmtId="0" fontId="30" fillId="0" borderId="0" xfId="42" applyFont="1" applyAlignment="1" applyProtection="1">
      <alignment horizontal="left"/>
      <protection/>
    </xf>
    <xf numFmtId="2" fontId="29" fillId="0" borderId="0" xfId="0" applyNumberFormat="1" applyFont="1" applyBorder="1" applyAlignment="1">
      <alignment horizontal="left"/>
    </xf>
    <xf numFmtId="2" fontId="29" fillId="0" borderId="0" xfId="0" applyNumberFormat="1" applyFont="1" applyAlignment="1">
      <alignment/>
    </xf>
    <xf numFmtId="0" fontId="22" fillId="0" borderId="25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left" wrapText="1"/>
    </xf>
    <xf numFmtId="0" fontId="22" fillId="0" borderId="23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29" xfId="0" applyFont="1" applyFill="1" applyBorder="1" applyAlignment="1">
      <alignment horizontal="left" wrapText="1"/>
    </xf>
    <xf numFmtId="0" fontId="22" fillId="0" borderId="29" xfId="0" applyFont="1" applyFill="1" applyBorder="1" applyAlignment="1">
      <alignment horizontal="center" wrapText="1"/>
    </xf>
    <xf numFmtId="0" fontId="22" fillId="0" borderId="45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left" wrapText="1"/>
    </xf>
    <xf numFmtId="0" fontId="22" fillId="0" borderId="24" xfId="0" applyFont="1" applyFill="1" applyBorder="1" applyAlignment="1">
      <alignment horizontal="left" wrapText="1"/>
    </xf>
    <xf numFmtId="0" fontId="22" fillId="0" borderId="24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22" fillId="0" borderId="2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3" fillId="0" borderId="0" xfId="42" applyFon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9" fillId="33" borderId="20" xfId="0" applyFont="1" applyFill="1" applyBorder="1" applyAlignment="1">
      <alignment/>
    </xf>
    <xf numFmtId="0" fontId="20" fillId="0" borderId="0" xfId="0" applyFont="1" applyAlignment="1">
      <alignment wrapText="1"/>
    </xf>
    <xf numFmtId="0" fontId="22" fillId="0" borderId="46" xfId="0" applyFont="1" applyFill="1" applyBorder="1" applyAlignment="1">
      <alignment horizontal="left" wrapText="1"/>
    </xf>
    <xf numFmtId="0" fontId="22" fillId="0" borderId="46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center" wrapText="1"/>
    </xf>
    <xf numFmtId="0" fontId="10" fillId="0" borderId="4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0" fillId="0" borderId="53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1" fontId="9" fillId="0" borderId="16" xfId="0" applyNumberFormat="1" applyFont="1" applyBorder="1" applyAlignment="1">
      <alignment horizontal="center" wrapText="1"/>
    </xf>
    <xf numFmtId="1" fontId="9" fillId="0" borderId="16" xfId="0" applyNumberFormat="1" applyFont="1" applyFill="1" applyBorder="1" applyAlignment="1">
      <alignment horizontal="center" wrapText="1"/>
    </xf>
    <xf numFmtId="1" fontId="9" fillId="0" borderId="15" xfId="0" applyNumberFormat="1" applyFont="1" applyBorder="1" applyAlignment="1">
      <alignment horizontal="center" wrapText="1"/>
    </xf>
    <xf numFmtId="1" fontId="9" fillId="0" borderId="15" xfId="0" applyNumberFormat="1" applyFont="1" applyFill="1" applyBorder="1" applyAlignment="1">
      <alignment horizontal="center" wrapText="1"/>
    </xf>
    <xf numFmtId="0" fontId="9" fillId="0" borderId="42" xfId="54" applyFont="1" applyBorder="1" applyAlignment="1">
      <alignment horizontal="left" vertical="center" wrapText="1"/>
      <protection/>
    </xf>
    <xf numFmtId="0" fontId="9" fillId="0" borderId="54" xfId="0" applyFont="1" applyBorder="1" applyAlignment="1">
      <alignment horizontal="center" vertical="center" wrapText="1"/>
    </xf>
    <xf numFmtId="0" fontId="9" fillId="0" borderId="55" xfId="54" applyFont="1" applyBorder="1" applyAlignment="1">
      <alignment horizontal="center" vertical="center" wrapText="1"/>
      <protection/>
    </xf>
    <xf numFmtId="0" fontId="9" fillId="0" borderId="0" xfId="54" applyFont="1">
      <alignment/>
      <protection/>
    </xf>
    <xf numFmtId="0" fontId="9" fillId="0" borderId="56" xfId="54" applyFont="1" applyBorder="1" applyAlignment="1">
      <alignment horizontal="left" vertical="center" wrapText="1"/>
      <protection/>
    </xf>
    <xf numFmtId="0" fontId="10" fillId="0" borderId="48" xfId="55" applyFont="1" applyBorder="1" applyAlignment="1">
      <alignment horizontal="left" vertical="center" wrapText="1"/>
      <protection/>
    </xf>
    <xf numFmtId="0" fontId="9" fillId="0" borderId="57" xfId="0" applyFont="1" applyBorder="1" applyAlignment="1">
      <alignment horizontal="center" vertical="center" wrapText="1"/>
    </xf>
    <xf numFmtId="0" fontId="9" fillId="0" borderId="58" xfId="54" applyFont="1" applyBorder="1" applyAlignment="1">
      <alignment horizontal="center" vertical="center" wrapText="1"/>
      <protection/>
    </xf>
    <xf numFmtId="1" fontId="21" fillId="33" borderId="28" xfId="0" applyNumberFormat="1" applyFont="1" applyFill="1" applyBorder="1" applyAlignment="1">
      <alignment horizontal="center" wrapText="1"/>
    </xf>
    <xf numFmtId="1" fontId="21" fillId="33" borderId="45" xfId="0" applyNumberFormat="1" applyFont="1" applyFill="1" applyBorder="1" applyAlignment="1">
      <alignment horizontal="center" wrapText="1"/>
    </xf>
    <xf numFmtId="1" fontId="1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20" fillId="0" borderId="0" xfId="0" applyFont="1" applyFill="1" applyAlignment="1">
      <alignment wrapText="1"/>
    </xf>
    <xf numFmtId="0" fontId="9" fillId="33" borderId="20" xfId="0" applyFont="1" applyFill="1" applyBorder="1" applyAlignment="1">
      <alignment wrapText="1"/>
    </xf>
    <xf numFmtId="0" fontId="20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69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2" fontId="14" fillId="0" borderId="0" xfId="0" applyNumberFormat="1" applyFont="1" applyBorder="1" applyAlignment="1">
      <alignment horizontal="left"/>
    </xf>
    <xf numFmtId="2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69" fontId="10" fillId="0" borderId="28" xfId="0" applyNumberFormat="1" applyFont="1" applyBorder="1" applyAlignment="1">
      <alignment horizontal="center" vertical="center" wrapText="1"/>
    </xf>
    <xf numFmtId="169" fontId="10" fillId="0" borderId="45" xfId="0" applyNumberFormat="1" applyFont="1" applyBorder="1" applyAlignment="1">
      <alignment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2" fontId="41" fillId="0" borderId="0" xfId="0" applyNumberFormat="1" applyFont="1" applyBorder="1" applyAlignment="1">
      <alignment horizontal="left"/>
    </xf>
    <xf numFmtId="2" fontId="41" fillId="0" borderId="0" xfId="0" applyNumberFormat="1" applyFont="1" applyBorder="1" applyAlignment="1">
      <alignment/>
    </xf>
    <xf numFmtId="2" fontId="41" fillId="0" borderId="0" xfId="0" applyNumberFormat="1" applyFont="1" applyAlignment="1">
      <alignment horizontal="left"/>
    </xf>
    <xf numFmtId="0" fontId="16" fillId="0" borderId="0" xfId="0" applyFont="1" applyAlignment="1">
      <alignment wrapText="1"/>
    </xf>
    <xf numFmtId="3" fontId="16" fillId="0" borderId="0" xfId="0" applyNumberFormat="1" applyFont="1" applyAlignment="1">
      <alignment wrapText="1"/>
    </xf>
    <xf numFmtId="1" fontId="43" fillId="0" borderId="59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3" fontId="15" fillId="0" borderId="0" xfId="0" applyNumberFormat="1" applyFont="1" applyBorder="1" applyAlignment="1">
      <alignment horizontal="center" vertical="top" wrapText="1"/>
    </xf>
    <xf numFmtId="3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3" fontId="14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4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center" wrapText="1"/>
    </xf>
    <xf numFmtId="0" fontId="46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3" fontId="43" fillId="0" borderId="0" xfId="0" applyNumberFormat="1" applyFont="1" applyAlignment="1">
      <alignment horizontal="center" wrapText="1"/>
    </xf>
    <xf numFmtId="3" fontId="41" fillId="0" borderId="0" xfId="0" applyNumberFormat="1" applyFont="1" applyAlignment="1">
      <alignment wrapText="1"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3" fontId="43" fillId="0" borderId="0" xfId="0" applyNumberFormat="1" applyFont="1" applyAlignment="1">
      <alignment horizontal="center"/>
    </xf>
    <xf numFmtId="1" fontId="43" fillId="0" borderId="53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3" fontId="43" fillId="0" borderId="0" xfId="0" applyNumberFormat="1" applyFont="1" applyBorder="1" applyAlignment="1">
      <alignment horizontal="center" wrapText="1"/>
    </xf>
    <xf numFmtId="3" fontId="43" fillId="0" borderId="0" xfId="0" applyNumberFormat="1" applyFont="1" applyBorder="1" applyAlignment="1">
      <alignment horizontal="center" vertical="top" wrapText="1"/>
    </xf>
    <xf numFmtId="167" fontId="43" fillId="0" borderId="0" xfId="0" applyNumberFormat="1" applyFont="1" applyBorder="1" applyAlignment="1">
      <alignment horizontal="center" vertical="top" wrapText="1"/>
    </xf>
    <xf numFmtId="166" fontId="43" fillId="0" borderId="0" xfId="0" applyNumberFormat="1" applyFont="1" applyBorder="1" applyAlignment="1">
      <alignment horizontal="center" vertical="top" wrapText="1"/>
    </xf>
    <xf numFmtId="1" fontId="43" fillId="0" borderId="48" xfId="0" applyNumberFormat="1" applyFont="1" applyBorder="1" applyAlignment="1">
      <alignment horizontal="center" vertical="center" wrapText="1"/>
    </xf>
    <xf numFmtId="168" fontId="43" fillId="0" borderId="0" xfId="0" applyNumberFormat="1" applyFont="1" applyBorder="1" applyAlignment="1">
      <alignment horizontal="center" vertical="top" wrapText="1"/>
    </xf>
    <xf numFmtId="0" fontId="41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5" fillId="0" borderId="47" xfId="0" applyFont="1" applyBorder="1" applyAlignment="1">
      <alignment horizontal="center" vertical="top" wrapText="1"/>
    </xf>
    <xf numFmtId="0" fontId="45" fillId="0" borderId="48" xfId="0" applyFont="1" applyBorder="1" applyAlignment="1">
      <alignment horizontal="center" vertical="top" wrapText="1"/>
    </xf>
    <xf numFmtId="0" fontId="46" fillId="0" borderId="48" xfId="0" applyFont="1" applyBorder="1" applyAlignment="1">
      <alignment horizontal="center" vertical="top" wrapText="1"/>
    </xf>
    <xf numFmtId="0" fontId="46" fillId="0" borderId="47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53" xfId="0" applyFont="1" applyBorder="1" applyAlignment="1">
      <alignment horizontal="center" vertical="top" wrapText="1"/>
    </xf>
    <xf numFmtId="0" fontId="47" fillId="0" borderId="47" xfId="0" applyFont="1" applyBorder="1" applyAlignment="1">
      <alignment horizontal="left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6" fillId="0" borderId="47" xfId="0" applyFont="1" applyBorder="1" applyAlignment="1">
      <alignment wrapText="1"/>
    </xf>
    <xf numFmtId="3" fontId="17" fillId="0" borderId="0" xfId="0" applyNumberFormat="1" applyFont="1" applyBorder="1" applyAlignment="1">
      <alignment wrapText="1"/>
    </xf>
    <xf numFmtId="0" fontId="46" fillId="0" borderId="48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22" fillId="0" borderId="34" xfId="0" applyFont="1" applyFill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0" borderId="32" xfId="0" applyFont="1" applyFill="1" applyBorder="1" applyAlignment="1">
      <alignment horizontal="center" wrapText="1"/>
    </xf>
    <xf numFmtId="0" fontId="10" fillId="33" borderId="61" xfId="0" applyFont="1" applyFill="1" applyBorder="1" applyAlignment="1">
      <alignment horizontal="center" wrapText="1"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1" fontId="10" fillId="0" borderId="15" xfId="0" applyNumberFormat="1" applyFont="1" applyFill="1" applyBorder="1" applyAlignment="1">
      <alignment horizontal="center" wrapText="1"/>
    </xf>
    <xf numFmtId="1" fontId="6" fillId="5" borderId="28" xfId="0" applyNumberFormat="1" applyFont="1" applyFill="1" applyBorder="1" applyAlignment="1">
      <alignment horizontal="center" wrapText="1"/>
    </xf>
    <xf numFmtId="1" fontId="6" fillId="5" borderId="45" xfId="0" applyNumberFormat="1" applyFont="1" applyFill="1" applyBorder="1" applyAlignment="1">
      <alignment horizontal="center" wrapText="1"/>
    </xf>
    <xf numFmtId="0" fontId="10" fillId="5" borderId="62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left" wrapText="1"/>
    </xf>
    <xf numFmtId="1" fontId="22" fillId="0" borderId="21" xfId="0" applyNumberFormat="1" applyFont="1" applyFill="1" applyBorder="1" applyAlignment="1">
      <alignment horizontal="center" wrapText="1"/>
    </xf>
    <xf numFmtId="1" fontId="22" fillId="0" borderId="46" xfId="0" applyNumberFormat="1" applyFont="1" applyFill="1" applyBorder="1" applyAlignment="1">
      <alignment horizontal="center" wrapText="1"/>
    </xf>
    <xf numFmtId="2" fontId="22" fillId="0" borderId="63" xfId="0" applyNumberFormat="1" applyFont="1" applyFill="1" applyBorder="1" applyAlignment="1">
      <alignment horizontal="center" wrapText="1"/>
    </xf>
    <xf numFmtId="0" fontId="10" fillId="0" borderId="47" xfId="55" applyFont="1" applyBorder="1" applyAlignment="1">
      <alignment horizontal="left" vertical="center" wrapText="1"/>
      <protection/>
    </xf>
    <xf numFmtId="0" fontId="46" fillId="0" borderId="11" xfId="0" applyFont="1" applyBorder="1" applyAlignment="1">
      <alignment horizontal="center" vertical="top" wrapText="1"/>
    </xf>
    <xf numFmtId="0" fontId="14" fillId="0" borderId="62" xfId="0" applyFont="1" applyBorder="1" applyAlignment="1">
      <alignment/>
    </xf>
    <xf numFmtId="0" fontId="17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1" fontId="43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wrapText="1"/>
    </xf>
    <xf numFmtId="1" fontId="22" fillId="0" borderId="25" xfId="0" applyNumberFormat="1" applyFont="1" applyFill="1" applyBorder="1" applyAlignment="1">
      <alignment horizontal="center" wrapText="1"/>
    </xf>
    <xf numFmtId="169" fontId="10" fillId="0" borderId="4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169" fontId="0" fillId="0" borderId="0" xfId="0" applyNumberFormat="1" applyFont="1" applyAlignment="1">
      <alignment/>
    </xf>
    <xf numFmtId="1" fontId="21" fillId="0" borderId="21" xfId="0" applyNumberFormat="1" applyFont="1" applyFill="1" applyBorder="1" applyAlignment="1">
      <alignment horizontal="center" vertical="center" wrapText="1"/>
    </xf>
    <xf numFmtId="2" fontId="21" fillId="0" borderId="63" xfId="0" applyNumberFormat="1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62" xfId="0" applyFont="1" applyBorder="1" applyAlignment="1">
      <alignment horizontal="center" wrapText="1"/>
    </xf>
    <xf numFmtId="0" fontId="22" fillId="0" borderId="27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left" wrapText="1"/>
    </xf>
    <xf numFmtId="0" fontId="34" fillId="0" borderId="0" xfId="0" applyFont="1" applyAlignment="1">
      <alignment wrapText="1"/>
    </xf>
    <xf numFmtId="0" fontId="22" fillId="0" borderId="57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2" fillId="0" borderId="54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10" fillId="0" borderId="49" xfId="0" applyFont="1" applyBorder="1" applyAlignment="1">
      <alignment vertical="center" wrapText="1"/>
    </xf>
    <xf numFmtId="0" fontId="77" fillId="0" borderId="0" xfId="0" applyFont="1" applyAlignment="1">
      <alignment/>
    </xf>
    <xf numFmtId="1" fontId="22" fillId="0" borderId="34" xfId="56" applyNumberFormat="1" applyFont="1" applyFill="1" applyBorder="1" applyAlignment="1">
      <alignment horizontal="center" wrapText="1"/>
      <protection/>
    </xf>
    <xf numFmtId="1" fontId="22" fillId="0" borderId="23" xfId="56" applyNumberFormat="1" applyFont="1" applyFill="1" applyBorder="1" applyAlignment="1">
      <alignment horizontal="center" wrapText="1"/>
      <protection/>
    </xf>
    <xf numFmtId="2" fontId="22" fillId="0" borderId="35" xfId="56" applyNumberFormat="1" applyFont="1" applyFill="1" applyBorder="1" applyAlignment="1">
      <alignment horizontal="center" wrapText="1"/>
      <protection/>
    </xf>
    <xf numFmtId="0" fontId="22" fillId="0" borderId="23" xfId="56" applyFont="1" applyFill="1" applyBorder="1" applyAlignment="1">
      <alignment horizontal="center" wrapText="1"/>
      <protection/>
    </xf>
    <xf numFmtId="1" fontId="22" fillId="0" borderId="27" xfId="0" applyNumberFormat="1" applyFont="1" applyFill="1" applyBorder="1" applyAlignment="1">
      <alignment horizont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1" fontId="9" fillId="0" borderId="37" xfId="0" applyNumberFormat="1" applyFont="1" applyBorder="1" applyAlignment="1">
      <alignment horizontal="center" wrapText="1"/>
    </xf>
    <xf numFmtId="1" fontId="9" fillId="0" borderId="37" xfId="0" applyNumberFormat="1" applyFont="1" applyFill="1" applyBorder="1" applyAlignment="1">
      <alignment horizontal="center" wrapText="1"/>
    </xf>
    <xf numFmtId="1" fontId="10" fillId="0" borderId="37" xfId="0" applyNumberFormat="1" applyFont="1" applyFill="1" applyBorder="1" applyAlignment="1">
      <alignment horizontal="center" wrapText="1"/>
    </xf>
    <xf numFmtId="2" fontId="22" fillId="0" borderId="65" xfId="0" applyNumberFormat="1" applyFont="1" applyFill="1" applyBorder="1" applyAlignment="1">
      <alignment horizontal="center" wrapText="1"/>
    </xf>
    <xf numFmtId="0" fontId="10" fillId="0" borderId="47" xfId="55" applyFont="1" applyFill="1" applyBorder="1" applyAlignment="1">
      <alignment vertical="center" wrapText="1"/>
      <protection/>
    </xf>
    <xf numFmtId="0" fontId="78" fillId="0" borderId="0" xfId="0" applyFont="1" applyAlignment="1">
      <alignment/>
    </xf>
    <xf numFmtId="0" fontId="9" fillId="0" borderId="47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66" xfId="55" applyFont="1" applyFill="1" applyBorder="1" applyAlignment="1">
      <alignment horizontal="center" vertical="center" wrapText="1"/>
      <protection/>
    </xf>
    <xf numFmtId="1" fontId="9" fillId="0" borderId="14" xfId="0" applyNumberFormat="1" applyFont="1" applyBorder="1" applyAlignment="1">
      <alignment horizontal="center" wrapText="1"/>
    </xf>
    <xf numFmtId="1" fontId="22" fillId="0" borderId="29" xfId="56" applyNumberFormat="1" applyFont="1" applyFill="1" applyBorder="1" applyAlignment="1">
      <alignment horizontal="center" wrapText="1"/>
      <protection/>
    </xf>
    <xf numFmtId="1" fontId="22" fillId="0" borderId="32" xfId="56" applyNumberFormat="1" applyFont="1" applyFill="1" applyBorder="1" applyAlignment="1">
      <alignment horizontal="center" wrapText="1"/>
      <protection/>
    </xf>
    <xf numFmtId="1" fontId="22" fillId="0" borderId="24" xfId="56" applyNumberFormat="1" applyFont="1" applyFill="1" applyBorder="1" applyAlignment="1">
      <alignment horizontal="center" wrapText="1"/>
      <protection/>
    </xf>
    <xf numFmtId="2" fontId="22" fillId="0" borderId="33" xfId="56" applyNumberFormat="1" applyFont="1" applyFill="1" applyBorder="1" applyAlignment="1">
      <alignment horizontal="center" wrapText="1"/>
      <protection/>
    </xf>
    <xf numFmtId="0" fontId="22" fillId="0" borderId="24" xfId="56" applyFont="1" applyFill="1" applyBorder="1" applyAlignment="1">
      <alignment horizontal="center" wrapText="1"/>
      <protection/>
    </xf>
    <xf numFmtId="0" fontId="12" fillId="0" borderId="54" xfId="0" applyFont="1" applyBorder="1" applyAlignment="1">
      <alignment horizontal="left" wrapText="1"/>
    </xf>
    <xf numFmtId="0" fontId="12" fillId="0" borderId="67" xfId="0" applyFont="1" applyFill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65" xfId="0" applyFont="1" applyBorder="1" applyAlignment="1">
      <alignment horizontal="left" wrapText="1"/>
    </xf>
    <xf numFmtId="0" fontId="12" fillId="0" borderId="33" xfId="0" applyFont="1" applyFill="1" applyBorder="1" applyAlignment="1">
      <alignment horizontal="left" wrapText="1"/>
    </xf>
    <xf numFmtId="0" fontId="12" fillId="0" borderId="35" xfId="56" applyFont="1" applyFill="1" applyBorder="1" applyAlignment="1">
      <alignment horizontal="left" wrapText="1"/>
      <protection/>
    </xf>
    <xf numFmtId="0" fontId="12" fillId="0" borderId="31" xfId="0" applyFont="1" applyFill="1" applyBorder="1" applyAlignment="1">
      <alignment horizontal="left" wrapText="1"/>
    </xf>
    <xf numFmtId="0" fontId="22" fillId="0" borderId="23" xfId="56" applyFont="1" applyFill="1" applyBorder="1" applyAlignment="1">
      <alignment horizontal="left" wrapText="1"/>
      <protection/>
    </xf>
    <xf numFmtId="0" fontId="22" fillId="0" borderId="24" xfId="56" applyFont="1" applyFill="1" applyBorder="1" applyAlignment="1">
      <alignment horizontal="left" wrapText="1"/>
      <protection/>
    </xf>
    <xf numFmtId="1" fontId="12" fillId="0" borderId="21" xfId="0" applyNumberFormat="1" applyFont="1" applyBorder="1" applyAlignment="1">
      <alignment horizontal="center" wrapText="1"/>
    </xf>
    <xf numFmtId="1" fontId="12" fillId="0" borderId="21" xfId="0" applyNumberFormat="1" applyFont="1" applyFill="1" applyBorder="1" applyAlignment="1">
      <alignment horizontal="center" wrapText="1"/>
    </xf>
    <xf numFmtId="1" fontId="12" fillId="0" borderId="34" xfId="0" applyNumberFormat="1" applyFont="1" applyBorder="1" applyAlignment="1">
      <alignment horizontal="center" wrapText="1"/>
    </xf>
    <xf numFmtId="1" fontId="12" fillId="0" borderId="34" xfId="0" applyNumberFormat="1" applyFont="1" applyFill="1" applyBorder="1" applyAlignment="1">
      <alignment horizontal="center" wrapText="1"/>
    </xf>
    <xf numFmtId="1" fontId="22" fillId="0" borderId="14" xfId="0" applyNumberFormat="1" applyFont="1" applyFill="1" applyBorder="1" applyAlignment="1">
      <alignment horizontal="center" wrapText="1"/>
    </xf>
    <xf numFmtId="1" fontId="12" fillId="0" borderId="36" xfId="0" applyNumberFormat="1" applyFont="1" applyBorder="1" applyAlignment="1">
      <alignment horizontal="center" wrapText="1"/>
    </xf>
    <xf numFmtId="1" fontId="12" fillId="0" borderId="36" xfId="0" applyNumberFormat="1" applyFont="1" applyFill="1" applyBorder="1" applyAlignment="1">
      <alignment horizontal="center" wrapText="1"/>
    </xf>
    <xf numFmtId="1" fontId="22" fillId="0" borderId="37" xfId="0" applyNumberFormat="1" applyFont="1" applyFill="1" applyBorder="1" applyAlignment="1">
      <alignment horizontal="center" wrapText="1"/>
    </xf>
    <xf numFmtId="1" fontId="12" fillId="0" borderId="32" xfId="0" applyNumberFormat="1" applyFont="1" applyBorder="1" applyAlignment="1">
      <alignment horizontal="center" wrapText="1"/>
    </xf>
    <xf numFmtId="1" fontId="12" fillId="0" borderId="32" xfId="0" applyNumberFormat="1" applyFont="1" applyFill="1" applyBorder="1" applyAlignment="1">
      <alignment horizontal="center" wrapText="1"/>
    </xf>
    <xf numFmtId="1" fontId="22" fillId="0" borderId="15" xfId="0" applyNumberFormat="1" applyFont="1" applyFill="1" applyBorder="1" applyAlignment="1">
      <alignment horizontal="center" wrapText="1"/>
    </xf>
    <xf numFmtId="1" fontId="22" fillId="0" borderId="16" xfId="56" applyNumberFormat="1" applyFont="1" applyFill="1" applyBorder="1" applyAlignment="1">
      <alignment horizontal="center" wrapText="1"/>
      <protection/>
    </xf>
    <xf numFmtId="2" fontId="22" fillId="0" borderId="31" xfId="56" applyNumberFormat="1" applyFont="1" applyFill="1" applyBorder="1" applyAlignment="1">
      <alignment horizontal="center" wrapText="1"/>
      <protection/>
    </xf>
    <xf numFmtId="1" fontId="12" fillId="0" borderId="60" xfId="0" applyNumberFormat="1" applyFont="1" applyFill="1" applyBorder="1" applyAlignment="1">
      <alignment horizontal="center" wrapText="1"/>
    </xf>
    <xf numFmtId="0" fontId="22" fillId="0" borderId="67" xfId="0" applyFont="1" applyFill="1" applyBorder="1" applyAlignment="1">
      <alignment horizontal="center" wrapText="1"/>
    </xf>
    <xf numFmtId="2" fontId="22" fillId="0" borderId="32" xfId="0" applyNumberFormat="1" applyFont="1" applyBorder="1" applyAlignment="1">
      <alignment horizontal="center" vertical="center"/>
    </xf>
    <xf numFmtId="2" fontId="22" fillId="0" borderId="28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60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6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2" fontId="22" fillId="0" borderId="36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41" xfId="55" applyFont="1" applyBorder="1" applyAlignment="1">
      <alignment horizontal="left" vertical="center" wrapText="1"/>
      <protection/>
    </xf>
    <xf numFmtId="0" fontId="22" fillId="0" borderId="40" xfId="55" applyFont="1" applyBorder="1" applyAlignment="1">
      <alignment horizontal="left" vertical="center" wrapText="1"/>
      <protection/>
    </xf>
    <xf numFmtId="1" fontId="10" fillId="0" borderId="34" xfId="0" applyNumberFormat="1" applyFont="1" applyBorder="1" applyAlignment="1">
      <alignment horizontal="center" wrapText="1"/>
    </xf>
    <xf numFmtId="1" fontId="10" fillId="0" borderId="32" xfId="0" applyNumberFormat="1" applyFont="1" applyBorder="1" applyAlignment="1">
      <alignment horizontal="center" wrapText="1"/>
    </xf>
    <xf numFmtId="1" fontId="10" fillId="0" borderId="32" xfId="0" applyNumberFormat="1" applyFont="1" applyFill="1" applyBorder="1" applyAlignment="1">
      <alignment horizontal="center" wrapText="1"/>
    </xf>
    <xf numFmtId="1" fontId="10" fillId="0" borderId="36" xfId="0" applyNumberFormat="1" applyFont="1" applyBorder="1" applyAlignment="1">
      <alignment horizontal="center" wrapText="1"/>
    </xf>
    <xf numFmtId="1" fontId="10" fillId="0" borderId="36" xfId="0" applyNumberFormat="1" applyFont="1" applyFill="1" applyBorder="1" applyAlignment="1">
      <alignment horizontal="center" wrapText="1"/>
    </xf>
    <xf numFmtId="1" fontId="10" fillId="0" borderId="14" xfId="55" applyNumberFormat="1" applyFont="1" applyFill="1" applyBorder="1" applyAlignment="1">
      <alignment horizontal="center" wrapText="1"/>
      <protection/>
    </xf>
    <xf numFmtId="0" fontId="79" fillId="0" borderId="0" xfId="0" applyFont="1" applyAlignment="1">
      <alignment/>
    </xf>
    <xf numFmtId="3" fontId="43" fillId="0" borderId="53" xfId="0" applyNumberFormat="1" applyFont="1" applyBorder="1" applyAlignment="1">
      <alignment horizontal="center" vertical="center"/>
    </xf>
    <xf numFmtId="3" fontId="43" fillId="0" borderId="68" xfId="0" applyNumberFormat="1" applyFont="1" applyBorder="1" applyAlignment="1">
      <alignment horizontal="center" vertical="center"/>
    </xf>
    <xf numFmtId="3" fontId="43" fillId="0" borderId="53" xfId="0" applyNumberFormat="1" applyFont="1" applyBorder="1" applyAlignment="1">
      <alignment horizontal="center" vertical="center" wrapText="1"/>
    </xf>
    <xf numFmtId="0" fontId="14" fillId="0" borderId="47" xfId="0" applyFont="1" applyBorder="1" applyAlignment="1">
      <alignment horizontal="left" vertical="top" wrapText="1"/>
    </xf>
    <xf numFmtId="0" fontId="14" fillId="0" borderId="48" xfId="0" applyFont="1" applyBorder="1" applyAlignment="1">
      <alignment vertical="top" wrapText="1"/>
    </xf>
    <xf numFmtId="0" fontId="14" fillId="0" borderId="48" xfId="0" applyFont="1" applyFill="1" applyBorder="1" applyAlignment="1">
      <alignment vertical="top" wrapText="1"/>
    </xf>
    <xf numFmtId="0" fontId="22" fillId="0" borderId="0" xfId="55" applyFont="1">
      <alignment/>
      <protection/>
    </xf>
    <xf numFmtId="165" fontId="22" fillId="0" borderId="0" xfId="55" applyNumberFormat="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169" fontId="22" fillId="0" borderId="0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/>
    </xf>
    <xf numFmtId="169" fontId="22" fillId="0" borderId="15" xfId="0" applyNumberFormat="1" applyFont="1" applyBorder="1" applyAlignment="1">
      <alignment horizontal="center" vertical="center" wrapText="1"/>
    </xf>
    <xf numFmtId="1" fontId="22" fillId="0" borderId="32" xfId="0" applyNumberFormat="1" applyFont="1" applyBorder="1" applyAlignment="1">
      <alignment horizontal="center" vertical="center"/>
    </xf>
    <xf numFmtId="1" fontId="22" fillId="0" borderId="0" xfId="55" applyNumberFormat="1" applyFont="1" applyBorder="1" applyAlignment="1">
      <alignment horizontal="center" vertical="center"/>
      <protection/>
    </xf>
    <xf numFmtId="169" fontId="22" fillId="0" borderId="37" xfId="0" applyNumberFormat="1" applyFont="1" applyBorder="1" applyAlignment="1">
      <alignment horizontal="center" vertical="center" wrapText="1"/>
    </xf>
    <xf numFmtId="1" fontId="22" fillId="0" borderId="36" xfId="0" applyNumberFormat="1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 wrapText="1"/>
      <protection/>
    </xf>
    <xf numFmtId="0" fontId="12" fillId="0" borderId="0" xfId="55" applyFont="1" applyBorder="1" applyAlignment="1">
      <alignment horizontal="left" vertical="center" wrapText="1"/>
      <protection/>
    </xf>
    <xf numFmtId="0" fontId="22" fillId="0" borderId="0" xfId="55" applyFont="1" applyBorder="1" applyAlignment="1">
      <alignment horizontal="center" vertical="center" wrapText="1"/>
      <protection/>
    </xf>
    <xf numFmtId="2" fontId="22" fillId="0" borderId="0" xfId="55" applyNumberFormat="1" applyFont="1" applyBorder="1" applyAlignment="1">
      <alignment horizontal="center" vertical="center" wrapText="1"/>
      <protection/>
    </xf>
    <xf numFmtId="0" fontId="22" fillId="0" borderId="23" xfId="0" applyFont="1" applyBorder="1" applyAlignment="1">
      <alignment horizontal="center"/>
    </xf>
    <xf numFmtId="1" fontId="22" fillId="0" borderId="0" xfId="55" applyNumberFormat="1" applyFont="1" applyBorder="1" applyAlignment="1">
      <alignment horizontal="center" vertical="center" wrapText="1"/>
      <protection/>
    </xf>
    <xf numFmtId="1" fontId="22" fillId="0" borderId="0" xfId="55" applyNumberFormat="1" applyFont="1" applyFill="1" applyBorder="1" applyAlignment="1">
      <alignment horizontal="center" vertical="center" wrapText="1"/>
      <protection/>
    </xf>
    <xf numFmtId="0" fontId="22" fillId="0" borderId="0" xfId="55" applyFont="1" applyBorder="1" applyAlignment="1">
      <alignment horizontal="center" vertical="center"/>
      <protection/>
    </xf>
    <xf numFmtId="2" fontId="22" fillId="0" borderId="0" xfId="55" applyNumberFormat="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2" fontId="29" fillId="0" borderId="0" xfId="0" applyNumberFormat="1" applyFont="1" applyAlignment="1">
      <alignment vertical="center"/>
    </xf>
    <xf numFmtId="164" fontId="37" fillId="0" borderId="0" xfId="0" applyNumberFormat="1" applyFont="1" applyBorder="1" applyAlignment="1">
      <alignment vertical="center"/>
    </xf>
    <xf numFmtId="2" fontId="29" fillId="0" borderId="0" xfId="55" applyNumberFormat="1" applyFont="1" applyAlignment="1">
      <alignment vertical="center"/>
      <protection/>
    </xf>
    <xf numFmtId="164" fontId="37" fillId="0" borderId="0" xfId="55" applyNumberFormat="1" applyFont="1" applyBorder="1" applyAlignment="1">
      <alignment vertical="center"/>
      <protection/>
    </xf>
    <xf numFmtId="1" fontId="12" fillId="0" borderId="37" xfId="0" applyNumberFormat="1" applyFont="1" applyBorder="1" applyAlignment="1">
      <alignment horizontal="center" wrapText="1"/>
    </xf>
    <xf numFmtId="2" fontId="12" fillId="0" borderId="37" xfId="0" applyNumberFormat="1" applyFont="1" applyBorder="1" applyAlignment="1">
      <alignment horizontal="center" wrapText="1"/>
    </xf>
    <xf numFmtId="0" fontId="22" fillId="0" borderId="25" xfId="55" applyFont="1" applyBorder="1" applyAlignment="1">
      <alignment horizontal="left" vertical="center" wrapText="1"/>
      <protection/>
    </xf>
    <xf numFmtId="0" fontId="12" fillId="0" borderId="25" xfId="55" applyFont="1" applyBorder="1" applyAlignment="1">
      <alignment vertical="center" wrapText="1"/>
      <protection/>
    </xf>
    <xf numFmtId="0" fontId="22" fillId="0" borderId="25" xfId="55" applyFont="1" applyBorder="1" applyAlignment="1">
      <alignment horizontal="center" vertical="center" wrapText="1"/>
      <protection/>
    </xf>
    <xf numFmtId="0" fontId="22" fillId="0" borderId="69" xfId="0" applyFont="1" applyBorder="1" applyAlignment="1">
      <alignment horizontal="center" vertical="center"/>
    </xf>
    <xf numFmtId="169" fontId="22" fillId="0" borderId="55" xfId="0" applyNumberFormat="1" applyFont="1" applyBorder="1" applyAlignment="1">
      <alignment horizontal="center" vertical="center" wrapText="1"/>
    </xf>
    <xf numFmtId="2" fontId="22" fillId="0" borderId="55" xfId="55" applyNumberFormat="1" applyFont="1" applyBorder="1" applyAlignment="1">
      <alignment horizontal="center" vertical="center" wrapText="1"/>
      <protection/>
    </xf>
    <xf numFmtId="2" fontId="22" fillId="0" borderId="0" xfId="55" applyNumberFormat="1" applyFont="1" applyAlignment="1">
      <alignment vertical="center"/>
      <protection/>
    </xf>
    <xf numFmtId="164" fontId="22" fillId="0" borderId="0" xfId="55" applyNumberFormat="1" applyFont="1" applyBorder="1" applyAlignment="1">
      <alignment vertical="center"/>
      <protection/>
    </xf>
    <xf numFmtId="0" fontId="22" fillId="0" borderId="24" xfId="55" applyFont="1" applyBorder="1" applyAlignment="1">
      <alignment horizontal="left" vertical="center" wrapText="1"/>
      <protection/>
    </xf>
    <xf numFmtId="0" fontId="12" fillId="0" borderId="24" xfId="55" applyFont="1" applyBorder="1" applyAlignment="1">
      <alignment vertical="center" wrapText="1"/>
      <protection/>
    </xf>
    <xf numFmtId="0" fontId="22" fillId="0" borderId="24" xfId="55" applyFont="1" applyBorder="1" applyAlignment="1">
      <alignment horizontal="center" vertical="center" wrapText="1"/>
      <protection/>
    </xf>
    <xf numFmtId="0" fontId="22" fillId="0" borderId="27" xfId="0" applyFont="1" applyBorder="1" applyAlignment="1">
      <alignment horizontal="left" vertical="center" wrapText="1"/>
    </xf>
    <xf numFmtId="0" fontId="12" fillId="0" borderId="27" xfId="0" applyFont="1" applyBorder="1" applyAlignment="1">
      <alignment vertical="center" wrapText="1"/>
    </xf>
    <xf numFmtId="0" fontId="22" fillId="0" borderId="2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justify" vertical="top" wrapText="1"/>
    </xf>
    <xf numFmtId="0" fontId="21" fillId="0" borderId="23" xfId="0" applyFont="1" applyBorder="1" applyAlignment="1">
      <alignment vertical="center" wrapText="1"/>
    </xf>
    <xf numFmtId="0" fontId="20" fillId="0" borderId="32" xfId="0" applyFont="1" applyBorder="1" applyAlignment="1">
      <alignment horizontal="justify" vertical="top" wrapText="1"/>
    </xf>
    <xf numFmtId="0" fontId="21" fillId="0" borderId="24" xfId="0" applyFont="1" applyBorder="1" applyAlignment="1">
      <alignment vertical="center" wrapText="1"/>
    </xf>
    <xf numFmtId="0" fontId="20" fillId="0" borderId="28" xfId="0" applyFont="1" applyBorder="1" applyAlignment="1">
      <alignment horizontal="justify" vertical="top" wrapText="1"/>
    </xf>
    <xf numFmtId="0" fontId="21" fillId="0" borderId="29" xfId="0" applyFont="1" applyBorder="1" applyAlignment="1">
      <alignment vertical="center" wrapText="1"/>
    </xf>
    <xf numFmtId="0" fontId="20" fillId="0" borderId="70" xfId="0" applyFont="1" applyBorder="1" applyAlignment="1">
      <alignment horizontal="justify" vertical="top" wrapText="1"/>
    </xf>
    <xf numFmtId="0" fontId="20" fillId="0" borderId="23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center" wrapText="1"/>
    </xf>
    <xf numFmtId="0" fontId="20" fillId="0" borderId="24" xfId="0" applyFont="1" applyBorder="1" applyAlignment="1">
      <alignment horizontal="justify" vertical="top" wrapText="1"/>
    </xf>
    <xf numFmtId="0" fontId="21" fillId="0" borderId="15" xfId="0" applyFont="1" applyBorder="1" applyAlignment="1">
      <alignment vertical="center" wrapText="1"/>
    </xf>
    <xf numFmtId="0" fontId="20" fillId="0" borderId="29" xfId="0" applyFont="1" applyBorder="1" applyAlignment="1">
      <alignment horizontal="justify" vertical="top" wrapText="1"/>
    </xf>
    <xf numFmtId="0" fontId="21" fillId="0" borderId="45" xfId="0" applyFont="1" applyBorder="1" applyAlignment="1">
      <alignment vertical="center" wrapText="1"/>
    </xf>
    <xf numFmtId="0" fontId="20" fillId="0" borderId="60" xfId="0" applyFont="1" applyBorder="1" applyAlignment="1">
      <alignment horizontal="justify" vertical="top" wrapText="1"/>
    </xf>
    <xf numFmtId="0" fontId="21" fillId="0" borderId="25" xfId="0" applyFont="1" applyBorder="1" applyAlignment="1">
      <alignment vertical="center" wrapText="1"/>
    </xf>
    <xf numFmtId="0" fontId="17" fillId="0" borderId="0" xfId="0" applyFont="1" applyFill="1" applyAlignment="1">
      <alignment/>
    </xf>
    <xf numFmtId="1" fontId="10" fillId="0" borderId="60" xfId="0" applyNumberFormat="1" applyFont="1" applyBorder="1" applyAlignment="1">
      <alignment horizontal="center" wrapText="1"/>
    </xf>
    <xf numFmtId="0" fontId="22" fillId="0" borderId="34" xfId="56" applyFont="1" applyFill="1" applyBorder="1" applyAlignment="1">
      <alignment horizontal="left" wrapText="1"/>
      <protection/>
    </xf>
    <xf numFmtId="0" fontId="12" fillId="0" borderId="23" xfId="56" applyFont="1" applyFill="1" applyBorder="1" applyAlignment="1">
      <alignment horizontal="left" wrapText="1"/>
      <protection/>
    </xf>
    <xf numFmtId="0" fontId="22" fillId="0" borderId="60" xfId="56" applyFont="1" applyFill="1" applyBorder="1" applyAlignment="1">
      <alignment horizontal="left" wrapText="1"/>
      <protection/>
    </xf>
    <xf numFmtId="0" fontId="12" fillId="0" borderId="24" xfId="56" applyFont="1" applyFill="1" applyBorder="1" applyAlignment="1">
      <alignment horizontal="left" wrapText="1"/>
      <protection/>
    </xf>
    <xf numFmtId="0" fontId="22" fillId="0" borderId="71" xfId="56" applyFont="1" applyFill="1" applyBorder="1" applyAlignment="1">
      <alignment horizontal="center" wrapText="1"/>
      <protection/>
    </xf>
    <xf numFmtId="0" fontId="12" fillId="0" borderId="25" xfId="56" applyFont="1" applyFill="1" applyBorder="1" applyAlignment="1">
      <alignment horizontal="left" wrapText="1"/>
      <protection/>
    </xf>
    <xf numFmtId="1" fontId="22" fillId="0" borderId="60" xfId="56" applyNumberFormat="1" applyFont="1" applyFill="1" applyBorder="1" applyAlignment="1">
      <alignment horizontal="center" wrapText="1"/>
      <protection/>
    </xf>
    <xf numFmtId="1" fontId="22" fillId="0" borderId="25" xfId="56" applyNumberFormat="1" applyFont="1" applyFill="1" applyBorder="1" applyAlignment="1">
      <alignment horizontal="center" wrapText="1"/>
      <protection/>
    </xf>
    <xf numFmtId="0" fontId="22" fillId="0" borderId="25" xfId="56" applyFont="1" applyFill="1" applyBorder="1" applyAlignment="1">
      <alignment horizontal="center" wrapText="1"/>
      <protection/>
    </xf>
    <xf numFmtId="2" fontId="22" fillId="0" borderId="69" xfId="0" applyNumberFormat="1" applyFont="1" applyBorder="1" applyAlignment="1">
      <alignment horizontal="center" vertical="center"/>
    </xf>
    <xf numFmtId="0" fontId="22" fillId="0" borderId="46" xfId="0" applyFont="1" applyBorder="1" applyAlignment="1">
      <alignment horizontal="center" wrapText="1"/>
    </xf>
    <xf numFmtId="0" fontId="22" fillId="0" borderId="32" xfId="56" applyFont="1" applyFill="1" applyBorder="1" applyAlignment="1">
      <alignment horizontal="left" wrapText="1"/>
      <protection/>
    </xf>
    <xf numFmtId="2" fontId="22" fillId="0" borderId="24" xfId="56" applyNumberFormat="1" applyFont="1" applyFill="1" applyBorder="1" applyAlignment="1">
      <alignment horizontal="center" wrapText="1"/>
      <protection/>
    </xf>
    <xf numFmtId="0" fontId="22" fillId="0" borderId="72" xfId="0" applyFont="1" applyBorder="1" applyAlignment="1">
      <alignment horizontal="left" wrapText="1"/>
    </xf>
    <xf numFmtId="0" fontId="12" fillId="0" borderId="58" xfId="0" applyFont="1" applyBorder="1" applyAlignment="1">
      <alignment horizontal="left" wrapText="1"/>
    </xf>
    <xf numFmtId="0" fontId="22" fillId="0" borderId="72" xfId="0" applyFont="1" applyBorder="1" applyAlignment="1">
      <alignment horizontal="center" wrapText="1"/>
    </xf>
    <xf numFmtId="0" fontId="22" fillId="0" borderId="58" xfId="0" applyFont="1" applyBorder="1" applyAlignment="1">
      <alignment horizontal="center" wrapText="1"/>
    </xf>
    <xf numFmtId="0" fontId="22" fillId="0" borderId="71" xfId="0" applyFont="1" applyBorder="1" applyAlignment="1">
      <alignment horizontal="center" wrapText="1"/>
    </xf>
    <xf numFmtId="0" fontId="22" fillId="0" borderId="70" xfId="0" applyFont="1" applyBorder="1" applyAlignment="1">
      <alignment horizontal="center" wrapText="1"/>
    </xf>
    <xf numFmtId="0" fontId="22" fillId="0" borderId="67" xfId="0" applyFont="1" applyFill="1" applyBorder="1" applyAlignment="1">
      <alignment horizontal="center"/>
    </xf>
    <xf numFmtId="0" fontId="22" fillId="0" borderId="43" xfId="55" applyFont="1" applyBorder="1" applyAlignment="1">
      <alignment horizontal="left" vertical="center" wrapText="1"/>
      <protection/>
    </xf>
    <xf numFmtId="0" fontId="12" fillId="0" borderId="49" xfId="55" applyFont="1" applyBorder="1" applyAlignment="1">
      <alignment horizontal="left" vertical="center" wrapText="1"/>
      <protection/>
    </xf>
    <xf numFmtId="0" fontId="12" fillId="0" borderId="48" xfId="55" applyFont="1" applyBorder="1" applyAlignment="1">
      <alignment horizontal="left" vertical="center" wrapText="1"/>
      <protection/>
    </xf>
    <xf numFmtId="0" fontId="12" fillId="0" borderId="53" xfId="55" applyFont="1" applyBorder="1" applyAlignment="1">
      <alignment horizontal="left" vertical="center" wrapText="1"/>
      <protection/>
    </xf>
    <xf numFmtId="0" fontId="10" fillId="0" borderId="48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10" fillId="0" borderId="73" xfId="0" applyFont="1" applyBorder="1" applyAlignment="1">
      <alignment horizontal="left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wrapText="1"/>
    </xf>
    <xf numFmtId="0" fontId="9" fillId="0" borderId="31" xfId="0" applyFont="1" applyFill="1" applyBorder="1" applyAlignment="1">
      <alignment horizontal="center" wrapText="1"/>
    </xf>
    <xf numFmtId="0" fontId="10" fillId="0" borderId="48" xfId="55" applyFont="1" applyFill="1" applyBorder="1" applyAlignment="1">
      <alignment vertical="center" wrapText="1"/>
      <protection/>
    </xf>
    <xf numFmtId="0" fontId="9" fillId="0" borderId="48" xfId="55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59" xfId="55" applyFont="1" applyFill="1" applyBorder="1" applyAlignment="1">
      <alignment horizontal="center" vertical="center" wrapText="1"/>
      <protection/>
    </xf>
    <xf numFmtId="1" fontId="10" fillId="0" borderId="15" xfId="55" applyNumberFormat="1" applyFont="1" applyFill="1" applyBorder="1" applyAlignment="1">
      <alignment horizontal="center" wrapText="1"/>
      <protection/>
    </xf>
    <xf numFmtId="0" fontId="10" fillId="0" borderId="53" xfId="55" applyFont="1" applyFill="1" applyBorder="1" applyAlignment="1">
      <alignment vertical="center" wrapText="1"/>
      <protection/>
    </xf>
    <xf numFmtId="0" fontId="9" fillId="0" borderId="53" xfId="55" applyFont="1" applyFill="1" applyBorder="1" applyAlignment="1">
      <alignment horizontal="center" vertical="center" wrapText="1"/>
      <protection/>
    </xf>
    <xf numFmtId="0" fontId="9" fillId="0" borderId="51" xfId="55" applyFont="1" applyFill="1" applyBorder="1" applyAlignment="1">
      <alignment horizontal="center" vertical="center" wrapText="1"/>
      <protection/>
    </xf>
    <xf numFmtId="0" fontId="9" fillId="0" borderId="68" xfId="55" applyFont="1" applyFill="1" applyBorder="1" applyAlignment="1">
      <alignment horizontal="center" vertical="center" wrapText="1"/>
      <protection/>
    </xf>
    <xf numFmtId="1" fontId="10" fillId="0" borderId="37" xfId="55" applyNumberFormat="1" applyFont="1" applyFill="1" applyBorder="1" applyAlignment="1">
      <alignment horizontal="center" wrapText="1"/>
      <protection/>
    </xf>
    <xf numFmtId="0" fontId="22" fillId="0" borderId="0" xfId="0" applyFont="1" applyFill="1" applyAlignment="1">
      <alignment horizontal="center"/>
    </xf>
    <xf numFmtId="0" fontId="22" fillId="0" borderId="53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wrapText="1"/>
    </xf>
    <xf numFmtId="1" fontId="21" fillId="0" borderId="36" xfId="0" applyNumberFormat="1" applyFont="1" applyBorder="1" applyAlignment="1">
      <alignment horizontal="center" wrapText="1"/>
    </xf>
    <xf numFmtId="1" fontId="21" fillId="0" borderId="0" xfId="0" applyNumberFormat="1" applyFont="1" applyFill="1" applyBorder="1" applyAlignment="1">
      <alignment horizontal="center" wrapText="1"/>
    </xf>
    <xf numFmtId="1" fontId="21" fillId="0" borderId="37" xfId="0" applyNumberFormat="1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/>
    </xf>
    <xf numFmtId="0" fontId="22" fillId="0" borderId="60" xfId="0" applyFont="1" applyBorder="1" applyAlignment="1">
      <alignment/>
    </xf>
    <xf numFmtId="0" fontId="12" fillId="0" borderId="23" xfId="0" applyFont="1" applyBorder="1" applyAlignment="1">
      <alignment/>
    </xf>
    <xf numFmtId="0" fontId="22" fillId="0" borderId="32" xfId="0" applyFont="1" applyBorder="1" applyAlignment="1">
      <alignment/>
    </xf>
    <xf numFmtId="0" fontId="12" fillId="0" borderId="24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2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22" fillId="0" borderId="29" xfId="0" applyFont="1" applyBorder="1" applyAlignment="1">
      <alignment horizontal="center"/>
    </xf>
    <xf numFmtId="1" fontId="12" fillId="35" borderId="69" xfId="56" applyNumberFormat="1" applyFont="1" applyFill="1" applyBorder="1" applyAlignment="1">
      <alignment horizontal="center" wrapText="1"/>
      <protection/>
    </xf>
    <xf numFmtId="1" fontId="12" fillId="35" borderId="55" xfId="56" applyNumberFormat="1" applyFont="1" applyFill="1" applyBorder="1" applyAlignment="1">
      <alignment horizontal="center" wrapText="1"/>
      <protection/>
    </xf>
    <xf numFmtId="1" fontId="12" fillId="35" borderId="20" xfId="0" applyNumberFormat="1" applyFont="1" applyFill="1" applyBorder="1" applyAlignment="1">
      <alignment horizontal="center" wrapText="1"/>
    </xf>
    <xf numFmtId="0" fontId="12" fillId="35" borderId="26" xfId="56" applyFont="1" applyFill="1" applyBorder="1" applyAlignment="1">
      <alignment horizontal="center" wrapText="1"/>
      <protection/>
    </xf>
    <xf numFmtId="0" fontId="12" fillId="35" borderId="55" xfId="56" applyFont="1" applyFill="1" applyBorder="1" applyAlignment="1">
      <alignment horizontal="center" wrapText="1"/>
      <protection/>
    </xf>
    <xf numFmtId="0" fontId="12" fillId="35" borderId="74" xfId="56" applyFont="1" applyFill="1" applyBorder="1" applyAlignment="1">
      <alignment horizontal="center" wrapText="1"/>
      <protection/>
    </xf>
    <xf numFmtId="1" fontId="21" fillId="5" borderId="21" xfId="0" applyNumberFormat="1" applyFont="1" applyFill="1" applyBorder="1" applyAlignment="1">
      <alignment horizontal="center" vertical="center" wrapText="1"/>
    </xf>
    <xf numFmtId="1" fontId="21" fillId="5" borderId="20" xfId="0" applyNumberFormat="1" applyFont="1" applyFill="1" applyBorder="1" applyAlignment="1">
      <alignment horizontal="center" vertical="center" wrapText="1"/>
    </xf>
    <xf numFmtId="1" fontId="10" fillId="5" borderId="36" xfId="0" applyNumberFormat="1" applyFont="1" applyFill="1" applyBorder="1" applyAlignment="1">
      <alignment horizontal="center" vertical="center" wrapText="1"/>
    </xf>
    <xf numFmtId="1" fontId="10" fillId="5" borderId="37" xfId="0" applyNumberFormat="1" applyFont="1" applyFill="1" applyBorder="1" applyAlignment="1">
      <alignment horizontal="center" vertical="center" wrapText="1"/>
    </xf>
    <xf numFmtId="1" fontId="51" fillId="5" borderId="20" xfId="0" applyNumberFormat="1" applyFont="1" applyFill="1" applyBorder="1" applyAlignment="1">
      <alignment horizontal="center" wrapText="1"/>
    </xf>
    <xf numFmtId="0" fontId="12" fillId="0" borderId="37" xfId="0" applyFont="1" applyBorder="1" applyAlignment="1">
      <alignment horizontal="left" wrapText="1"/>
    </xf>
    <xf numFmtId="0" fontId="12" fillId="0" borderId="75" xfId="0" applyFont="1" applyFill="1" applyBorder="1" applyAlignment="1">
      <alignment horizontal="left" wrapText="1"/>
    </xf>
    <xf numFmtId="2" fontId="12" fillId="0" borderId="20" xfId="0" applyNumberFormat="1" applyFont="1" applyFill="1" applyBorder="1" applyAlignment="1">
      <alignment horizontal="center" wrapText="1"/>
    </xf>
    <xf numFmtId="0" fontId="77" fillId="0" borderId="0" xfId="0" applyFont="1" applyFill="1" applyAlignment="1">
      <alignment/>
    </xf>
    <xf numFmtId="0" fontId="12" fillId="0" borderId="29" xfId="0" applyFont="1" applyBorder="1" applyAlignment="1">
      <alignment horizontal="left" wrapText="1"/>
    </xf>
    <xf numFmtId="0" fontId="0" fillId="0" borderId="0" xfId="0" applyFont="1" applyAlignment="1">
      <alignment/>
    </xf>
    <xf numFmtId="169" fontId="17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7" fillId="5" borderId="28" xfId="0" applyFont="1" applyFill="1" applyBorder="1" applyAlignment="1">
      <alignment horizontal="center" wrapText="1"/>
    </xf>
    <xf numFmtId="1" fontId="2" fillId="5" borderId="45" xfId="0" applyNumberFormat="1" applyFont="1" applyFill="1" applyBorder="1" applyAlignment="1">
      <alignment horizontal="center" wrapText="1"/>
    </xf>
    <xf numFmtId="0" fontId="7" fillId="5" borderId="45" xfId="0" applyFont="1" applyFill="1" applyBorder="1" applyAlignment="1">
      <alignment horizontal="center" wrapText="1"/>
    </xf>
    <xf numFmtId="1" fontId="22" fillId="0" borderId="14" xfId="0" applyNumberFormat="1" applyFont="1" applyBorder="1" applyAlignment="1">
      <alignment horizontal="center" wrapText="1"/>
    </xf>
    <xf numFmtId="1" fontId="22" fillId="0" borderId="15" xfId="55" applyNumberFormat="1" applyFont="1" applyBorder="1" applyAlignment="1">
      <alignment horizontal="center" wrapText="1"/>
      <protection/>
    </xf>
    <xf numFmtId="1" fontId="22" fillId="0" borderId="37" xfId="55" applyNumberFormat="1" applyFont="1" applyBorder="1" applyAlignment="1">
      <alignment horizontal="center" wrapText="1"/>
      <protection/>
    </xf>
    <xf numFmtId="0" fontId="9" fillId="0" borderId="42" xfId="55" applyFont="1" applyFill="1" applyBorder="1" applyAlignment="1">
      <alignment horizontal="left" vertical="center" wrapText="1"/>
      <protection/>
    </xf>
    <xf numFmtId="0" fontId="9" fillId="0" borderId="41" xfId="55" applyFont="1" applyFill="1" applyBorder="1" applyAlignment="1">
      <alignment horizontal="left" vertical="center" wrapText="1"/>
      <protection/>
    </xf>
    <xf numFmtId="0" fontId="9" fillId="0" borderId="40" xfId="55" applyFont="1" applyFill="1" applyBorder="1" applyAlignment="1">
      <alignment horizontal="left" vertical="center" wrapText="1"/>
      <protection/>
    </xf>
    <xf numFmtId="1" fontId="10" fillId="0" borderId="62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 wrapText="1"/>
    </xf>
    <xf numFmtId="2" fontId="22" fillId="0" borderId="3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22" fillId="0" borderId="60" xfId="0" applyNumberFormat="1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/>
    </xf>
    <xf numFmtId="1" fontId="10" fillId="5" borderId="36" xfId="0" applyNumberFormat="1" applyFont="1" applyFill="1" applyBorder="1" applyAlignment="1">
      <alignment horizontal="center" wrapText="1"/>
    </xf>
    <xf numFmtId="1" fontId="10" fillId="5" borderId="37" xfId="0" applyNumberFormat="1" applyFont="1" applyFill="1" applyBorder="1" applyAlignment="1">
      <alignment horizontal="center" wrapText="1"/>
    </xf>
    <xf numFmtId="0" fontId="12" fillId="0" borderId="16" xfId="0" applyFont="1" applyBorder="1" applyAlignment="1">
      <alignment horizontal="left" vertical="top" wrapText="1"/>
    </xf>
    <xf numFmtId="2" fontId="22" fillId="0" borderId="20" xfId="0" applyNumberFormat="1" applyFont="1" applyFill="1" applyBorder="1" applyAlignment="1">
      <alignment horizontal="center" wrapText="1"/>
    </xf>
    <xf numFmtId="0" fontId="22" fillId="0" borderId="75" xfId="0" applyFont="1" applyFill="1" applyBorder="1" applyAlignment="1">
      <alignment horizontal="center" wrapText="1"/>
    </xf>
    <xf numFmtId="1" fontId="51" fillId="35" borderId="20" xfId="0" applyNumberFormat="1" applyFont="1" applyFill="1" applyBorder="1" applyAlignment="1">
      <alignment horizontal="center" wrapText="1"/>
    </xf>
    <xf numFmtId="1" fontId="51" fillId="35" borderId="21" xfId="0" applyNumberFormat="1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wrapText="1"/>
    </xf>
    <xf numFmtId="0" fontId="80" fillId="0" borderId="0" xfId="0" applyFont="1" applyAlignment="1">
      <alignment/>
    </xf>
    <xf numFmtId="0" fontId="20" fillId="0" borderId="24" xfId="0" applyFont="1" applyFill="1" applyBorder="1" applyAlignment="1">
      <alignment horizontal="left" wrapText="1"/>
    </xf>
    <xf numFmtId="0" fontId="20" fillId="0" borderId="29" xfId="0" applyFont="1" applyFill="1" applyBorder="1" applyAlignment="1">
      <alignment horizontal="left" wrapText="1"/>
    </xf>
    <xf numFmtId="0" fontId="20" fillId="0" borderId="34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/>
    </xf>
    <xf numFmtId="0" fontId="9" fillId="0" borderId="56" xfId="55" applyFont="1" applyBorder="1" applyAlignment="1">
      <alignment horizontal="left" vertical="center" wrapText="1"/>
      <protection/>
    </xf>
    <xf numFmtId="0" fontId="9" fillId="0" borderId="58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9" fillId="0" borderId="0" xfId="55" applyFont="1">
      <alignment/>
      <protection/>
    </xf>
    <xf numFmtId="0" fontId="9" fillId="0" borderId="44" xfId="55" applyFont="1" applyFill="1" applyBorder="1" applyAlignment="1">
      <alignment horizontal="left" wrapText="1"/>
      <protection/>
    </xf>
    <xf numFmtId="0" fontId="10" fillId="0" borderId="76" xfId="55" applyFont="1" applyFill="1" applyBorder="1" applyAlignment="1">
      <alignment wrapText="1"/>
      <protection/>
    </xf>
    <xf numFmtId="0" fontId="9" fillId="0" borderId="39" xfId="55" applyFont="1" applyFill="1" applyBorder="1" applyAlignment="1">
      <alignment horizontal="center" wrapText="1"/>
      <protection/>
    </xf>
    <xf numFmtId="0" fontId="9" fillId="0" borderId="52" xfId="55" applyFont="1" applyFill="1" applyBorder="1" applyAlignment="1">
      <alignment horizontal="center" wrapText="1"/>
      <protection/>
    </xf>
    <xf numFmtId="1" fontId="9" fillId="0" borderId="37" xfId="55" applyNumberFormat="1" applyFont="1" applyFill="1" applyBorder="1" applyAlignment="1">
      <alignment horizontal="center" wrapText="1"/>
      <protection/>
    </xf>
    <xf numFmtId="0" fontId="9" fillId="0" borderId="14" xfId="55" applyFont="1" applyFill="1" applyBorder="1" applyAlignment="1">
      <alignment horizontal="center" vertical="center" wrapText="1"/>
      <protection/>
    </xf>
    <xf numFmtId="0" fontId="128" fillId="0" borderId="0" xfId="0" applyFont="1" applyAlignment="1">
      <alignment/>
    </xf>
    <xf numFmtId="0" fontId="128" fillId="0" borderId="0" xfId="0" applyFont="1" applyBorder="1" applyAlignment="1">
      <alignment/>
    </xf>
    <xf numFmtId="0" fontId="22" fillId="0" borderId="28" xfId="0" applyFont="1" applyFill="1" applyBorder="1" applyAlignment="1">
      <alignment horizontal="center" wrapText="1"/>
    </xf>
    <xf numFmtId="0" fontId="22" fillId="0" borderId="3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vertical="center" wrapText="1"/>
    </xf>
    <xf numFmtId="1" fontId="21" fillId="0" borderId="32" xfId="0" applyNumberFormat="1" applyFont="1" applyBorder="1" applyAlignment="1">
      <alignment horizontal="center" wrapText="1"/>
    </xf>
    <xf numFmtId="1" fontId="21" fillId="0" borderId="15" xfId="0" applyNumberFormat="1" applyFont="1" applyFill="1" applyBorder="1" applyAlignment="1">
      <alignment horizontal="center" wrapText="1"/>
    </xf>
    <xf numFmtId="0" fontId="9" fillId="0" borderId="52" xfId="55" applyFont="1" applyFill="1" applyBorder="1" applyAlignment="1">
      <alignment horizontal="center" vertical="center" wrapText="1"/>
      <protection/>
    </xf>
    <xf numFmtId="0" fontId="9" fillId="0" borderId="47" xfId="54" applyFont="1" applyBorder="1" applyAlignment="1">
      <alignment horizontal="center" vertical="center" wrapText="1"/>
      <protection/>
    </xf>
    <xf numFmtId="0" fontId="9" fillId="0" borderId="73" xfId="54" applyFont="1" applyBorder="1" applyAlignment="1">
      <alignment horizontal="center" vertical="center" wrapText="1"/>
      <protection/>
    </xf>
    <xf numFmtId="14" fontId="22" fillId="0" borderId="23" xfId="0" applyNumberFormat="1" applyFont="1" applyFill="1" applyBorder="1" applyAlignment="1">
      <alignment horizontal="left" vertical="center" wrapText="1"/>
    </xf>
    <xf numFmtId="14" fontId="12" fillId="0" borderId="23" xfId="0" applyNumberFormat="1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169" fontId="22" fillId="0" borderId="14" xfId="0" applyNumberFormat="1" applyFont="1" applyBorder="1" applyAlignment="1">
      <alignment horizontal="center" vertical="center" wrapText="1"/>
    </xf>
    <xf numFmtId="1" fontId="22" fillId="0" borderId="3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" fontId="22" fillId="0" borderId="77" xfId="56" applyNumberFormat="1" applyFont="1" applyFill="1" applyBorder="1" applyAlignment="1">
      <alignment horizontal="center" wrapText="1"/>
      <protection/>
    </xf>
    <xf numFmtId="1" fontId="12" fillId="0" borderId="62" xfId="0" applyNumberFormat="1" applyFont="1" applyFill="1" applyBorder="1" applyAlignment="1">
      <alignment horizontal="center" wrapText="1"/>
    </xf>
    <xf numFmtId="0" fontId="54" fillId="0" borderId="13" xfId="55" applyFont="1" applyFill="1" applyBorder="1" applyAlignment="1">
      <alignment horizontal="center" vertical="center" wrapText="1"/>
      <protection/>
    </xf>
    <xf numFmtId="0" fontId="54" fillId="0" borderId="78" xfId="55" applyFont="1" applyFill="1" applyBorder="1" applyAlignment="1">
      <alignment horizontal="center" vertical="center" wrapText="1"/>
      <protection/>
    </xf>
    <xf numFmtId="0" fontId="54" fillId="0" borderId="52" xfId="55" applyFont="1" applyFill="1" applyBorder="1" applyAlignment="1">
      <alignment horizontal="center" vertical="center" wrapText="1"/>
      <protection/>
    </xf>
    <xf numFmtId="0" fontId="8" fillId="0" borderId="34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32" xfId="0" applyFont="1" applyBorder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8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2" fillId="0" borderId="28" xfId="56" applyFont="1" applyFill="1" applyBorder="1" applyAlignment="1">
      <alignment horizontal="left" wrapText="1"/>
      <protection/>
    </xf>
    <xf numFmtId="0" fontId="12" fillId="0" borderId="71" xfId="56" applyFont="1" applyFill="1" applyBorder="1" applyAlignment="1">
      <alignment horizontal="left" wrapText="1"/>
      <protection/>
    </xf>
    <xf numFmtId="0" fontId="22" fillId="0" borderId="0" xfId="0" applyFont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wrapText="1"/>
    </xf>
    <xf numFmtId="0" fontId="10" fillId="5" borderId="18" xfId="0" applyFont="1" applyFill="1" applyBorder="1" applyAlignment="1">
      <alignment horizontal="left" wrapText="1"/>
    </xf>
    <xf numFmtId="0" fontId="10" fillId="5" borderId="20" xfId="0" applyFont="1" applyFill="1" applyBorder="1" applyAlignment="1">
      <alignment horizontal="left" wrapText="1"/>
    </xf>
    <xf numFmtId="0" fontId="9" fillId="5" borderId="20" xfId="0" applyFont="1" applyFill="1" applyBorder="1" applyAlignment="1">
      <alignment/>
    </xf>
    <xf numFmtId="0" fontId="10" fillId="5" borderId="19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 wrapText="1"/>
    </xf>
    <xf numFmtId="0" fontId="2" fillId="0" borderId="76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/>
    </xf>
    <xf numFmtId="0" fontId="22" fillId="0" borderId="14" xfId="56" applyFont="1" applyFill="1" applyBorder="1" applyAlignment="1">
      <alignment horizontal="center" wrapText="1"/>
      <protection/>
    </xf>
    <xf numFmtId="2" fontId="12" fillId="0" borderId="34" xfId="0" applyNumberFormat="1" applyFont="1" applyFill="1" applyBorder="1" applyAlignment="1">
      <alignment horizontal="center" wrapText="1"/>
    </xf>
    <xf numFmtId="2" fontId="12" fillId="0" borderId="35" xfId="0" applyNumberFormat="1" applyFont="1" applyFill="1" applyBorder="1" applyAlignment="1">
      <alignment horizontal="center" wrapText="1"/>
    </xf>
    <xf numFmtId="0" fontId="22" fillId="0" borderId="15" xfId="56" applyFont="1" applyFill="1" applyBorder="1" applyAlignment="1">
      <alignment horizontal="center" wrapText="1"/>
      <protection/>
    </xf>
    <xf numFmtId="2" fontId="12" fillId="0" borderId="32" xfId="0" applyNumberFormat="1" applyFont="1" applyFill="1" applyBorder="1" applyAlignment="1">
      <alignment horizontal="center" wrapText="1"/>
    </xf>
    <xf numFmtId="2" fontId="12" fillId="0" borderId="33" xfId="0" applyNumberFormat="1" applyFont="1" applyFill="1" applyBorder="1" applyAlignment="1">
      <alignment horizontal="center" wrapText="1"/>
    </xf>
    <xf numFmtId="0" fontId="12" fillId="0" borderId="29" xfId="56" applyFont="1" applyFill="1" applyBorder="1" applyAlignment="1">
      <alignment horizontal="left" wrapText="1"/>
      <protection/>
    </xf>
    <xf numFmtId="0" fontId="22" fillId="0" borderId="45" xfId="56" applyFont="1" applyFill="1" applyBorder="1" applyAlignment="1">
      <alignment horizontal="center" wrapText="1"/>
      <protection/>
    </xf>
    <xf numFmtId="0" fontId="22" fillId="0" borderId="29" xfId="56" applyFont="1" applyFill="1" applyBorder="1" applyAlignment="1">
      <alignment horizontal="center" wrapText="1"/>
      <protection/>
    </xf>
    <xf numFmtId="2" fontId="12" fillId="0" borderId="28" xfId="0" applyNumberFormat="1" applyFont="1" applyFill="1" applyBorder="1" applyAlignment="1">
      <alignment horizontal="center" wrapText="1"/>
    </xf>
    <xf numFmtId="1" fontId="22" fillId="0" borderId="45" xfId="0" applyNumberFormat="1" applyFont="1" applyFill="1" applyBorder="1" applyAlignment="1">
      <alignment horizontal="center" wrapText="1"/>
    </xf>
    <xf numFmtId="2" fontId="12" fillId="0" borderId="30" xfId="0" applyNumberFormat="1" applyFont="1" applyFill="1" applyBorder="1" applyAlignment="1">
      <alignment horizontal="center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2" fillId="0" borderId="62" xfId="0" applyFont="1" applyFill="1" applyBorder="1" applyAlignment="1">
      <alignment horizontal="center" wrapText="1"/>
    </xf>
    <xf numFmtId="1" fontId="12" fillId="0" borderId="69" xfId="0" applyNumberFormat="1" applyFont="1" applyBorder="1" applyAlignment="1">
      <alignment horizontal="center" wrapText="1"/>
    </xf>
    <xf numFmtId="0" fontId="22" fillId="0" borderId="55" xfId="0" applyFont="1" applyBorder="1" applyAlignment="1">
      <alignment horizontal="center" wrapText="1"/>
    </xf>
    <xf numFmtId="2" fontId="12" fillId="0" borderId="55" xfId="0" applyNumberFormat="1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left" wrapText="1"/>
    </xf>
    <xf numFmtId="0" fontId="20" fillId="0" borderId="29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wrapText="1"/>
    </xf>
    <xf numFmtId="0" fontId="20" fillId="0" borderId="25" xfId="0" applyFont="1" applyFill="1" applyBorder="1" applyAlignment="1">
      <alignment horizontal="left" wrapText="1"/>
    </xf>
    <xf numFmtId="0" fontId="21" fillId="0" borderId="24" xfId="0" applyFont="1" applyFill="1" applyBorder="1" applyAlignment="1">
      <alignment horizontal="left" wrapText="1"/>
    </xf>
    <xf numFmtId="0" fontId="20" fillId="0" borderId="24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left" wrapText="1"/>
    </xf>
    <xf numFmtId="0" fontId="21" fillId="0" borderId="27" xfId="0" applyFont="1" applyFill="1" applyBorder="1" applyAlignment="1">
      <alignment horizontal="left" wrapText="1"/>
    </xf>
    <xf numFmtId="0" fontId="21" fillId="0" borderId="29" xfId="0" applyFont="1" applyFill="1" applyBorder="1" applyAlignment="1">
      <alignment horizontal="left" wrapText="1"/>
    </xf>
    <xf numFmtId="0" fontId="130" fillId="0" borderId="0" xfId="0" applyFont="1" applyAlignment="1">
      <alignment/>
    </xf>
    <xf numFmtId="0" fontId="10" fillId="0" borderId="79" xfId="55" applyFont="1" applyFill="1" applyBorder="1" applyAlignment="1">
      <alignment vertical="center" wrapText="1"/>
      <protection/>
    </xf>
    <xf numFmtId="0" fontId="22" fillId="0" borderId="62" xfId="56" applyFont="1" applyFill="1" applyBorder="1" applyAlignment="1">
      <alignment horizontal="left" wrapText="1"/>
      <protection/>
    </xf>
    <xf numFmtId="1" fontId="22" fillId="0" borderId="62" xfId="56" applyNumberFormat="1" applyFont="1" applyFill="1" applyBorder="1" applyAlignment="1">
      <alignment horizontal="center" wrapText="1"/>
      <protection/>
    </xf>
    <xf numFmtId="1" fontId="22" fillId="0" borderId="71" xfId="56" applyNumberFormat="1" applyFont="1" applyFill="1" applyBorder="1" applyAlignment="1">
      <alignment horizontal="center" wrapText="1"/>
      <protection/>
    </xf>
    <xf numFmtId="1" fontId="12" fillId="0" borderId="69" xfId="0" applyNumberFormat="1" applyFont="1" applyFill="1" applyBorder="1" applyAlignment="1">
      <alignment horizontal="center" wrapText="1"/>
    </xf>
    <xf numFmtId="1" fontId="22" fillId="0" borderId="55" xfId="0" applyNumberFormat="1" applyFont="1" applyFill="1" applyBorder="1" applyAlignment="1">
      <alignment horizontal="center" wrapText="1"/>
    </xf>
    <xf numFmtId="0" fontId="22" fillId="0" borderId="55" xfId="0" applyFont="1" applyFill="1" applyBorder="1" applyAlignment="1">
      <alignment horizontal="center" wrapText="1"/>
    </xf>
    <xf numFmtId="1" fontId="12" fillId="0" borderId="0" xfId="0" applyNumberFormat="1" applyFont="1" applyFill="1" applyAlignment="1">
      <alignment wrapText="1"/>
    </xf>
    <xf numFmtId="0" fontId="22" fillId="0" borderId="0" xfId="0" applyFont="1" applyFill="1" applyAlignment="1">
      <alignment wrapText="1"/>
    </xf>
    <xf numFmtId="0" fontId="12" fillId="0" borderId="45" xfId="0" applyFont="1" applyFill="1" applyBorder="1" applyAlignment="1">
      <alignment horizontal="left" wrapText="1"/>
    </xf>
    <xf numFmtId="0" fontId="12" fillId="0" borderId="54" xfId="0" applyFont="1" applyFill="1" applyBorder="1" applyAlignment="1">
      <alignment horizontal="left" wrapText="1"/>
    </xf>
    <xf numFmtId="0" fontId="22" fillId="0" borderId="27" xfId="0" applyFont="1" applyFill="1" applyBorder="1" applyAlignment="1">
      <alignment horizontal="left" wrapText="1"/>
    </xf>
    <xf numFmtId="0" fontId="12" fillId="0" borderId="76" xfId="0" applyFont="1" applyFill="1" applyBorder="1" applyAlignment="1">
      <alignment horizontal="left" wrapText="1"/>
    </xf>
    <xf numFmtId="0" fontId="22" fillId="0" borderId="2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22" fillId="0" borderId="34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12" fillId="0" borderId="35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2" fillId="0" borderId="37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center" wrapText="1"/>
    </xf>
    <xf numFmtId="0" fontId="130" fillId="0" borderId="0" xfId="0" applyFont="1" applyFill="1" applyAlignment="1">
      <alignment/>
    </xf>
    <xf numFmtId="0" fontId="131" fillId="0" borderId="0" xfId="0" applyFont="1" applyAlignment="1">
      <alignment/>
    </xf>
    <xf numFmtId="0" fontId="132" fillId="0" borderId="0" xfId="0" applyFont="1" applyFill="1" applyAlignment="1">
      <alignment/>
    </xf>
    <xf numFmtId="0" fontId="133" fillId="0" borderId="0" xfId="0" applyFont="1" applyAlignment="1">
      <alignment/>
    </xf>
    <xf numFmtId="0" fontId="15" fillId="0" borderId="32" xfId="0" applyFont="1" applyFill="1" applyBorder="1" applyAlignment="1">
      <alignment/>
    </xf>
    <xf numFmtId="0" fontId="55" fillId="0" borderId="15" xfId="0" applyFont="1" applyBorder="1" applyAlignment="1">
      <alignment horizontal="left" vertical="top" wrapText="1"/>
    </xf>
    <xf numFmtId="0" fontId="56" fillId="0" borderId="48" xfId="0" applyFont="1" applyBorder="1" applyAlignment="1">
      <alignment horizontal="center" wrapText="1"/>
    </xf>
    <xf numFmtId="0" fontId="56" fillId="0" borderId="53" xfId="0" applyFont="1" applyBorder="1" applyAlignment="1">
      <alignment horizontal="center" wrapText="1"/>
    </xf>
    <xf numFmtId="0" fontId="133" fillId="0" borderId="0" xfId="0" applyFont="1" applyBorder="1" applyAlignment="1">
      <alignment/>
    </xf>
    <xf numFmtId="0" fontId="43" fillId="36" borderId="48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133" fillId="0" borderId="0" xfId="0" applyFont="1" applyFill="1" applyAlignment="1">
      <alignment/>
    </xf>
    <xf numFmtId="0" fontId="46" fillId="0" borderId="47" xfId="0" applyFont="1" applyFill="1" applyBorder="1" applyAlignment="1">
      <alignment horizontal="center" vertical="top" wrapText="1"/>
    </xf>
    <xf numFmtId="3" fontId="43" fillId="0" borderId="0" xfId="0" applyNumberFormat="1" applyFont="1" applyFill="1" applyAlignment="1">
      <alignment horizontal="center"/>
    </xf>
    <xf numFmtId="165" fontId="51" fillId="0" borderId="34" xfId="0" applyNumberFormat="1" applyFont="1" applyBorder="1" applyAlignment="1">
      <alignment horizontal="center" wrapText="1"/>
    </xf>
    <xf numFmtId="1" fontId="48" fillId="0" borderId="14" xfId="0" applyNumberFormat="1" applyFont="1" applyBorder="1" applyAlignment="1">
      <alignment horizontal="center" wrapText="1"/>
    </xf>
    <xf numFmtId="2" fontId="48" fillId="0" borderId="14" xfId="0" applyNumberFormat="1" applyFont="1" applyBorder="1" applyAlignment="1">
      <alignment horizontal="center" wrapText="1"/>
    </xf>
    <xf numFmtId="2" fontId="48" fillId="0" borderId="35" xfId="0" applyNumberFormat="1" applyFont="1" applyBorder="1" applyAlignment="1">
      <alignment horizontal="center" wrapText="1"/>
    </xf>
    <xf numFmtId="165" fontId="51" fillId="0" borderId="14" xfId="0" applyNumberFormat="1" applyFont="1" applyFill="1" applyBorder="1" applyAlignment="1">
      <alignment horizontal="center" wrapText="1"/>
    </xf>
    <xf numFmtId="1" fontId="48" fillId="0" borderId="14" xfId="0" applyNumberFormat="1" applyFont="1" applyFill="1" applyBorder="1" applyAlignment="1">
      <alignment horizontal="center" wrapText="1"/>
    </xf>
    <xf numFmtId="2" fontId="48" fillId="0" borderId="14" xfId="0" applyNumberFormat="1" applyFont="1" applyFill="1" applyBorder="1" applyAlignment="1">
      <alignment horizontal="center" wrapText="1"/>
    </xf>
    <xf numFmtId="165" fontId="51" fillId="0" borderId="34" xfId="0" applyNumberFormat="1" applyFont="1" applyFill="1" applyBorder="1" applyAlignment="1">
      <alignment horizontal="center" wrapText="1"/>
    </xf>
    <xf numFmtId="2" fontId="48" fillId="0" borderId="35" xfId="0" applyNumberFormat="1" applyFont="1" applyFill="1" applyBorder="1" applyAlignment="1">
      <alignment horizontal="center" wrapText="1"/>
    </xf>
    <xf numFmtId="165" fontId="51" fillId="0" borderId="36" xfId="0" applyNumberFormat="1" applyFont="1" applyBorder="1" applyAlignment="1">
      <alignment horizontal="center" wrapText="1"/>
    </xf>
    <xf numFmtId="1" fontId="48" fillId="0" borderId="37" xfId="0" applyNumberFormat="1" applyFont="1" applyBorder="1" applyAlignment="1">
      <alignment horizontal="center" wrapText="1"/>
    </xf>
    <xf numFmtId="2" fontId="48" fillId="0" borderId="37" xfId="0" applyNumberFormat="1" applyFont="1" applyBorder="1" applyAlignment="1">
      <alignment horizontal="center" wrapText="1"/>
    </xf>
    <xf numFmtId="2" fontId="48" fillId="0" borderId="65" xfId="0" applyNumberFormat="1" applyFont="1" applyBorder="1" applyAlignment="1">
      <alignment horizontal="center" wrapText="1"/>
    </xf>
    <xf numFmtId="165" fontId="51" fillId="0" borderId="37" xfId="0" applyNumberFormat="1" applyFont="1" applyFill="1" applyBorder="1" applyAlignment="1">
      <alignment horizontal="center" wrapText="1"/>
    </xf>
    <xf numFmtId="1" fontId="48" fillId="0" borderId="37" xfId="0" applyNumberFormat="1" applyFont="1" applyFill="1" applyBorder="1" applyAlignment="1">
      <alignment horizontal="center" wrapText="1"/>
    </xf>
    <xf numFmtId="2" fontId="48" fillId="0" borderId="37" xfId="0" applyNumberFormat="1" applyFont="1" applyFill="1" applyBorder="1" applyAlignment="1">
      <alignment horizontal="center" wrapText="1"/>
    </xf>
    <xf numFmtId="165" fontId="51" fillId="0" borderId="36" xfId="0" applyNumberFormat="1" applyFont="1" applyFill="1" applyBorder="1" applyAlignment="1">
      <alignment horizontal="center" wrapText="1"/>
    </xf>
    <xf numFmtId="2" fontId="48" fillId="0" borderId="65" xfId="0" applyNumberFormat="1" applyFont="1" applyFill="1" applyBorder="1" applyAlignment="1">
      <alignment horizontal="center" wrapText="1"/>
    </xf>
    <xf numFmtId="1" fontId="48" fillId="0" borderId="14" xfId="0" applyNumberFormat="1" applyFont="1" applyBorder="1" applyAlignment="1">
      <alignment horizontal="center" vertical="center" wrapText="1"/>
    </xf>
    <xf numFmtId="1" fontId="48" fillId="0" borderId="14" xfId="0" applyNumberFormat="1" applyFont="1" applyFill="1" applyBorder="1" applyAlignment="1">
      <alignment horizontal="center" vertical="center" wrapText="1"/>
    </xf>
    <xf numFmtId="165" fontId="51" fillId="0" borderId="28" xfId="0" applyNumberFormat="1" applyFont="1" applyBorder="1" applyAlignment="1">
      <alignment horizontal="center" wrapText="1"/>
    </xf>
    <xf numFmtId="1" fontId="48" fillId="0" borderId="45" xfId="0" applyNumberFormat="1" applyFont="1" applyBorder="1" applyAlignment="1">
      <alignment horizontal="center" vertical="center" wrapText="1"/>
    </xf>
    <xf numFmtId="2" fontId="48" fillId="0" borderId="45" xfId="0" applyNumberFormat="1" applyFont="1" applyBorder="1" applyAlignment="1">
      <alignment horizontal="center" wrapText="1"/>
    </xf>
    <xf numFmtId="1" fontId="48" fillId="0" borderId="45" xfId="0" applyNumberFormat="1" applyFont="1" applyBorder="1" applyAlignment="1">
      <alignment horizontal="center" wrapText="1"/>
    </xf>
    <xf numFmtId="2" fontId="48" fillId="0" borderId="30" xfId="0" applyNumberFormat="1" applyFont="1" applyBorder="1" applyAlignment="1">
      <alignment horizontal="center" wrapText="1"/>
    </xf>
    <xf numFmtId="165" fontId="51" fillId="0" borderId="45" xfId="0" applyNumberFormat="1" applyFont="1" applyFill="1" applyBorder="1" applyAlignment="1">
      <alignment horizontal="center" wrapText="1"/>
    </xf>
    <xf numFmtId="1" fontId="48" fillId="0" borderId="45" xfId="0" applyNumberFormat="1" applyFont="1" applyFill="1" applyBorder="1" applyAlignment="1">
      <alignment horizontal="center" vertical="center" wrapText="1"/>
    </xf>
    <xf numFmtId="2" fontId="48" fillId="0" borderId="45" xfId="0" applyNumberFormat="1" applyFont="1" applyFill="1" applyBorder="1" applyAlignment="1">
      <alignment horizontal="center" wrapText="1"/>
    </xf>
    <xf numFmtId="165" fontId="51" fillId="0" borderId="28" xfId="0" applyNumberFormat="1" applyFont="1" applyFill="1" applyBorder="1" applyAlignment="1">
      <alignment horizontal="center" wrapText="1"/>
    </xf>
    <xf numFmtId="2" fontId="48" fillId="0" borderId="30" xfId="0" applyNumberFormat="1" applyFont="1" applyFill="1" applyBorder="1" applyAlignment="1">
      <alignment horizontal="center" wrapText="1"/>
    </xf>
    <xf numFmtId="165" fontId="51" fillId="0" borderId="16" xfId="0" applyNumberFormat="1" applyFont="1" applyBorder="1" applyAlignment="1">
      <alignment horizontal="center" wrapText="1"/>
    </xf>
    <xf numFmtId="1" fontId="48" fillId="0" borderId="16" xfId="0" applyNumberFormat="1" applyFont="1" applyBorder="1" applyAlignment="1">
      <alignment horizontal="center" wrapText="1"/>
    </xf>
    <xf numFmtId="2" fontId="48" fillId="0" borderId="0" xfId="0" applyNumberFormat="1" applyFont="1" applyBorder="1" applyAlignment="1">
      <alignment horizontal="center" wrapText="1"/>
    </xf>
    <xf numFmtId="165" fontId="51" fillId="0" borderId="60" xfId="0" applyNumberFormat="1" applyFont="1" applyBorder="1" applyAlignment="1">
      <alignment horizontal="center" wrapText="1"/>
    </xf>
    <xf numFmtId="2" fontId="48" fillId="0" borderId="31" xfId="0" applyNumberFormat="1" applyFont="1" applyBorder="1" applyAlignment="1">
      <alignment horizontal="center" wrapText="1"/>
    </xf>
    <xf numFmtId="165" fontId="51" fillId="0" borderId="16" xfId="0" applyNumberFormat="1" applyFont="1" applyFill="1" applyBorder="1" applyAlignment="1">
      <alignment horizontal="center" wrapText="1"/>
    </xf>
    <xf numFmtId="1" fontId="48" fillId="0" borderId="16" xfId="0" applyNumberFormat="1" applyFont="1" applyFill="1" applyBorder="1" applyAlignment="1">
      <alignment horizontal="center" wrapText="1"/>
    </xf>
    <xf numFmtId="2" fontId="48" fillId="0" borderId="16" xfId="0" applyNumberFormat="1" applyFont="1" applyFill="1" applyBorder="1" applyAlignment="1">
      <alignment horizontal="center" wrapText="1"/>
    </xf>
    <xf numFmtId="165" fontId="51" fillId="0" borderId="60" xfId="0" applyNumberFormat="1" applyFont="1" applyFill="1" applyBorder="1" applyAlignment="1">
      <alignment horizontal="center" wrapText="1"/>
    </xf>
    <xf numFmtId="2" fontId="48" fillId="0" borderId="31" xfId="0" applyNumberFormat="1" applyFont="1" applyFill="1" applyBorder="1" applyAlignment="1">
      <alignment horizontal="center" wrapText="1"/>
    </xf>
    <xf numFmtId="165" fontId="51" fillId="0" borderId="15" xfId="0" applyNumberFormat="1" applyFont="1" applyBorder="1" applyAlignment="1">
      <alignment horizontal="center" wrapText="1"/>
    </xf>
    <xf numFmtId="1" fontId="48" fillId="0" borderId="15" xfId="0" applyNumberFormat="1" applyFont="1" applyBorder="1" applyAlignment="1">
      <alignment horizontal="center" vertical="center" wrapText="1"/>
    </xf>
    <xf numFmtId="2" fontId="48" fillId="0" borderId="15" xfId="0" applyNumberFormat="1" applyFont="1" applyBorder="1" applyAlignment="1">
      <alignment horizontal="center" wrapText="1"/>
    </xf>
    <xf numFmtId="165" fontId="51" fillId="0" borderId="32" xfId="0" applyNumberFormat="1" applyFont="1" applyBorder="1" applyAlignment="1">
      <alignment horizontal="center" wrapText="1"/>
    </xf>
    <xf numFmtId="1" fontId="48" fillId="0" borderId="15" xfId="0" applyNumberFormat="1" applyFont="1" applyBorder="1" applyAlignment="1">
      <alignment horizontal="center" wrapText="1"/>
    </xf>
    <xf numFmtId="2" fontId="48" fillId="0" borderId="33" xfId="0" applyNumberFormat="1" applyFont="1" applyBorder="1" applyAlignment="1">
      <alignment horizontal="center" wrapText="1"/>
    </xf>
    <xf numFmtId="165" fontId="51" fillId="0" borderId="15" xfId="0" applyNumberFormat="1" applyFont="1" applyFill="1" applyBorder="1" applyAlignment="1">
      <alignment horizontal="center" wrapText="1"/>
    </xf>
    <xf numFmtId="1" fontId="48" fillId="0" borderId="15" xfId="0" applyNumberFormat="1" applyFont="1" applyFill="1" applyBorder="1" applyAlignment="1">
      <alignment horizontal="center" vertical="center" wrapText="1"/>
    </xf>
    <xf numFmtId="2" fontId="48" fillId="0" borderId="15" xfId="0" applyNumberFormat="1" applyFont="1" applyFill="1" applyBorder="1" applyAlignment="1">
      <alignment horizontal="center" wrapText="1"/>
    </xf>
    <xf numFmtId="165" fontId="51" fillId="0" borderId="32" xfId="0" applyNumberFormat="1" applyFont="1" applyFill="1" applyBorder="1" applyAlignment="1">
      <alignment horizontal="center" wrapText="1"/>
    </xf>
    <xf numFmtId="2" fontId="48" fillId="0" borderId="33" xfId="0" applyNumberFormat="1" applyFont="1" applyFill="1" applyBorder="1" applyAlignment="1">
      <alignment horizontal="center" wrapText="1"/>
    </xf>
    <xf numFmtId="2" fontId="48" fillId="0" borderId="16" xfId="0" applyNumberFormat="1" applyFont="1" applyBorder="1" applyAlignment="1">
      <alignment horizontal="center" wrapText="1"/>
    </xf>
    <xf numFmtId="1" fontId="48" fillId="0" borderId="15" xfId="0" applyNumberFormat="1" applyFont="1" applyFill="1" applyBorder="1" applyAlignment="1">
      <alignment horizontal="center" wrapText="1"/>
    </xf>
    <xf numFmtId="165" fontId="51" fillId="0" borderId="45" xfId="0" applyNumberFormat="1" applyFont="1" applyBorder="1" applyAlignment="1">
      <alignment horizontal="center" wrapText="1"/>
    </xf>
    <xf numFmtId="1" fontId="48" fillId="0" borderId="45" xfId="0" applyNumberFormat="1" applyFont="1" applyFill="1" applyBorder="1" applyAlignment="1">
      <alignment horizontal="center" wrapText="1"/>
    </xf>
    <xf numFmtId="3" fontId="43" fillId="0" borderId="39" xfId="0" applyNumberFormat="1" applyFont="1" applyBorder="1" applyAlignment="1">
      <alignment horizontal="center" vertical="center"/>
    </xf>
    <xf numFmtId="3" fontId="43" fillId="0" borderId="80" xfId="0" applyNumberFormat="1" applyFont="1" applyBorder="1" applyAlignment="1">
      <alignment horizontal="center" vertical="center"/>
    </xf>
    <xf numFmtId="1" fontId="43" fillId="0" borderId="48" xfId="0" applyNumberFormat="1" applyFont="1" applyBorder="1" applyAlignment="1">
      <alignment horizontal="center" vertical="center"/>
    </xf>
    <xf numFmtId="1" fontId="43" fillId="0" borderId="59" xfId="0" applyNumberFormat="1" applyFont="1" applyBorder="1" applyAlignment="1">
      <alignment horizontal="center" vertical="center"/>
    </xf>
    <xf numFmtId="1" fontId="43" fillId="0" borderId="68" xfId="0" applyNumberFormat="1" applyFont="1" applyBorder="1" applyAlignment="1">
      <alignment horizontal="center" vertical="center" wrapText="1"/>
    </xf>
    <xf numFmtId="1" fontId="43" fillId="0" borderId="48" xfId="0" applyNumberFormat="1" applyFont="1" applyFill="1" applyBorder="1" applyAlignment="1">
      <alignment horizontal="center"/>
    </xf>
    <xf numFmtId="1" fontId="43" fillId="0" borderId="59" xfId="0" applyNumberFormat="1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 wrapText="1"/>
    </xf>
    <xf numFmtId="0" fontId="43" fillId="0" borderId="59" xfId="0" applyFont="1" applyFill="1" applyBorder="1" applyAlignment="1">
      <alignment horizontal="center" wrapText="1"/>
    </xf>
    <xf numFmtId="1" fontId="43" fillId="0" borderId="53" xfId="0" applyNumberFormat="1" applyFont="1" applyFill="1" applyBorder="1" applyAlignment="1">
      <alignment horizontal="center" wrapText="1"/>
    </xf>
    <xf numFmtId="1" fontId="43" fillId="0" borderId="68" xfId="0" applyNumberFormat="1" applyFont="1" applyFill="1" applyBorder="1" applyAlignment="1">
      <alignment horizontal="center" wrapText="1"/>
    </xf>
    <xf numFmtId="1" fontId="12" fillId="0" borderId="62" xfId="0" applyNumberFormat="1" applyFont="1" applyBorder="1" applyAlignment="1">
      <alignment horizontal="center" wrapText="1"/>
    </xf>
    <xf numFmtId="0" fontId="134" fillId="0" borderId="0" xfId="0" applyFont="1" applyFill="1" applyAlignment="1">
      <alignment wrapText="1"/>
    </xf>
    <xf numFmtId="0" fontId="12" fillId="0" borderId="72" xfId="56" applyFont="1" applyFill="1" applyBorder="1" applyAlignment="1">
      <alignment horizontal="left" wrapText="1"/>
      <protection/>
    </xf>
    <xf numFmtId="1" fontId="22" fillId="0" borderId="28" xfId="56" applyNumberFormat="1" applyFont="1" applyFill="1" applyBorder="1" applyAlignment="1">
      <alignment horizontal="center" wrapText="1"/>
      <protection/>
    </xf>
    <xf numFmtId="2" fontId="22" fillId="0" borderId="29" xfId="56" applyNumberFormat="1" applyFont="1" applyFill="1" applyBorder="1" applyAlignment="1">
      <alignment horizontal="center" wrapText="1"/>
      <protection/>
    </xf>
    <xf numFmtId="2" fontId="22" fillId="0" borderId="30" xfId="56" applyNumberFormat="1" applyFont="1" applyFill="1" applyBorder="1" applyAlignment="1">
      <alignment horizontal="center" wrapText="1"/>
      <protection/>
    </xf>
    <xf numFmtId="2" fontId="12" fillId="0" borderId="14" xfId="0" applyNumberFormat="1" applyFont="1" applyFill="1" applyBorder="1" applyAlignment="1">
      <alignment horizontal="center" wrapText="1"/>
    </xf>
    <xf numFmtId="1" fontId="12" fillId="0" borderId="28" xfId="0" applyNumberFormat="1" applyFont="1" applyFill="1" applyBorder="1" applyAlignment="1">
      <alignment horizontal="center" wrapText="1"/>
    </xf>
    <xf numFmtId="2" fontId="12" fillId="0" borderId="45" xfId="0" applyNumberFormat="1" applyFont="1" applyFill="1" applyBorder="1" applyAlignment="1">
      <alignment horizontal="center" wrapText="1"/>
    </xf>
    <xf numFmtId="0" fontId="22" fillId="0" borderId="23" xfId="56" applyFont="1" applyFill="1" applyBorder="1">
      <alignment/>
      <protection/>
    </xf>
    <xf numFmtId="0" fontId="12" fillId="0" borderId="37" xfId="0" applyFont="1" applyFill="1" applyBorder="1" applyAlignment="1">
      <alignment horizontal="left" wrapText="1"/>
    </xf>
    <xf numFmtId="0" fontId="22" fillId="0" borderId="37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 vertical="center"/>
    </xf>
    <xf numFmtId="165" fontId="10" fillId="0" borderId="34" xfId="0" applyNumberFormat="1" applyFont="1" applyBorder="1" applyAlignment="1">
      <alignment horizontal="center" wrapText="1"/>
    </xf>
    <xf numFmtId="165" fontId="10" fillId="0" borderId="60" xfId="0" applyNumberFormat="1" applyFont="1" applyBorder="1" applyAlignment="1">
      <alignment horizontal="center" wrapText="1"/>
    </xf>
    <xf numFmtId="2" fontId="9" fillId="0" borderId="16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37" xfId="0" applyNumberFormat="1" applyFont="1" applyBorder="1" applyAlignment="1">
      <alignment horizontal="center" vertical="center" wrapText="1"/>
    </xf>
    <xf numFmtId="165" fontId="10" fillId="0" borderId="32" xfId="0" applyNumberFormat="1" applyFont="1" applyBorder="1" applyAlignment="1">
      <alignment horizontal="center" wrapText="1"/>
    </xf>
    <xf numFmtId="1" fontId="9" fillId="0" borderId="15" xfId="0" applyNumberFormat="1" applyFont="1" applyBorder="1" applyAlignment="1">
      <alignment horizontal="center" vertical="center" wrapText="1"/>
    </xf>
    <xf numFmtId="165" fontId="10" fillId="0" borderId="36" xfId="0" applyNumberFormat="1" applyFont="1" applyBorder="1" applyAlignment="1">
      <alignment horizontal="center" wrapText="1"/>
    </xf>
    <xf numFmtId="0" fontId="46" fillId="0" borderId="39" xfId="0" applyFont="1" applyBorder="1" applyAlignment="1">
      <alignment horizontal="center" vertical="center" wrapText="1"/>
    </xf>
    <xf numFmtId="1" fontId="43" fillId="0" borderId="39" xfId="0" applyNumberFormat="1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1" fontId="43" fillId="0" borderId="73" xfId="0" applyNumberFormat="1" applyFont="1" applyBorder="1" applyAlignment="1">
      <alignment horizontal="center" vertical="center" wrapText="1"/>
    </xf>
    <xf numFmtId="1" fontId="43" fillId="0" borderId="81" xfId="0" applyNumberFormat="1" applyFont="1" applyBorder="1" applyAlignment="1">
      <alignment horizontal="center" vertical="center" wrapText="1"/>
    </xf>
    <xf numFmtId="0" fontId="46" fillId="0" borderId="53" xfId="0" applyFont="1" applyFill="1" applyBorder="1" applyAlignment="1">
      <alignment horizontal="center" vertical="center" wrapText="1"/>
    </xf>
    <xf numFmtId="0" fontId="51" fillId="0" borderId="48" xfId="0" applyFont="1" applyBorder="1" applyAlignment="1">
      <alignment vertical="top" wrapText="1"/>
    </xf>
    <xf numFmtId="0" fontId="51" fillId="0" borderId="48" xfId="0" applyFont="1" applyFill="1" applyBorder="1" applyAlignment="1">
      <alignment vertical="top" wrapText="1"/>
    </xf>
    <xf numFmtId="0" fontId="41" fillId="0" borderId="48" xfId="0" applyFont="1" applyBorder="1" applyAlignment="1">
      <alignment horizontal="center" vertical="top" wrapText="1"/>
    </xf>
    <xf numFmtId="0" fontId="15" fillId="0" borderId="48" xfId="0" applyFont="1" applyFill="1" applyBorder="1" applyAlignment="1">
      <alignment/>
    </xf>
    <xf numFmtId="0" fontId="15" fillId="0" borderId="53" xfId="0" applyFont="1" applyFill="1" applyBorder="1" applyAlignment="1">
      <alignment/>
    </xf>
    <xf numFmtId="0" fontId="41" fillId="0" borderId="53" xfId="0" applyFont="1" applyBorder="1" applyAlignment="1">
      <alignment horizontal="center" vertical="top" wrapText="1"/>
    </xf>
    <xf numFmtId="3" fontId="57" fillId="0" borderId="0" xfId="0" applyNumberFormat="1" applyFont="1" applyAlignment="1">
      <alignment horizontal="center" wrapText="1"/>
    </xf>
    <xf numFmtId="3" fontId="43" fillId="0" borderId="0" xfId="0" applyNumberFormat="1" applyFont="1" applyBorder="1" applyAlignment="1">
      <alignment horizontal="center"/>
    </xf>
    <xf numFmtId="0" fontId="15" fillId="0" borderId="15" xfId="0" applyFont="1" applyFill="1" applyBorder="1" applyAlignment="1">
      <alignment vertical="top" wrapText="1"/>
    </xf>
    <xf numFmtId="0" fontId="46" fillId="0" borderId="73" xfId="0" applyFont="1" applyFill="1" applyBorder="1" applyAlignment="1">
      <alignment horizontal="center" vertical="top" wrapText="1"/>
    </xf>
    <xf numFmtId="3" fontId="43" fillId="0" borderId="48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top" wrapText="1"/>
    </xf>
    <xf numFmtId="3" fontId="43" fillId="0" borderId="0" xfId="0" applyNumberFormat="1" applyFont="1" applyFill="1" applyBorder="1" applyAlignment="1">
      <alignment horizontal="center" wrapText="1"/>
    </xf>
    <xf numFmtId="0" fontId="16" fillId="0" borderId="32" xfId="0" applyFont="1" applyFill="1" applyBorder="1" applyAlignment="1">
      <alignment vertical="top"/>
    </xf>
    <xf numFmtId="1" fontId="43" fillId="0" borderId="48" xfId="0" applyNumberFormat="1" applyFont="1" applyFill="1" applyBorder="1" applyAlignment="1">
      <alignment horizontal="center" vertical="center" wrapText="1"/>
    </xf>
    <xf numFmtId="1" fontId="43" fillId="0" borderId="59" xfId="0" applyNumberFormat="1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top" wrapText="1"/>
    </xf>
    <xf numFmtId="0" fontId="46" fillId="0" borderId="53" xfId="0" applyFont="1" applyFill="1" applyBorder="1" applyAlignment="1">
      <alignment horizontal="center" vertical="top" wrapText="1"/>
    </xf>
    <xf numFmtId="1" fontId="43" fillId="0" borderId="53" xfId="0" applyNumberFormat="1" applyFont="1" applyFill="1" applyBorder="1" applyAlignment="1">
      <alignment horizontal="center" vertical="center" wrapText="1"/>
    </xf>
    <xf numFmtId="1" fontId="43" fillId="0" borderId="68" xfId="0" applyNumberFormat="1" applyFont="1" applyFill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top" wrapText="1"/>
    </xf>
    <xf numFmtId="0" fontId="22" fillId="0" borderId="35" xfId="0" applyFont="1" applyFill="1" applyBorder="1" applyAlignment="1">
      <alignment horizontal="center" wrapText="1"/>
    </xf>
    <xf numFmtId="0" fontId="22" fillId="0" borderId="65" xfId="0" applyFont="1" applyFill="1" applyBorder="1" applyAlignment="1">
      <alignment horizontal="center" wrapText="1"/>
    </xf>
    <xf numFmtId="0" fontId="22" fillId="0" borderId="76" xfId="0" applyFont="1" applyFill="1" applyBorder="1" applyAlignment="1">
      <alignment horizontal="center" wrapText="1"/>
    </xf>
    <xf numFmtId="0" fontId="135" fillId="0" borderId="0" xfId="0" applyFont="1" applyAlignment="1">
      <alignment/>
    </xf>
    <xf numFmtId="0" fontId="134" fillId="0" borderId="0" xfId="0" applyFont="1" applyAlignment="1">
      <alignment wrapText="1"/>
    </xf>
    <xf numFmtId="0" fontId="58" fillId="0" borderId="0" xfId="0" applyFont="1" applyAlignment="1">
      <alignment/>
    </xf>
    <xf numFmtId="1" fontId="135" fillId="0" borderId="82" xfId="0" applyNumberFormat="1" applyFont="1" applyFill="1" applyBorder="1" applyAlignment="1">
      <alignment/>
    </xf>
    <xf numFmtId="1" fontId="135" fillId="0" borderId="59" xfId="0" applyNumberFormat="1" applyFont="1" applyFill="1" applyBorder="1" applyAlignment="1">
      <alignment/>
    </xf>
    <xf numFmtId="1" fontId="135" fillId="0" borderId="68" xfId="0" applyNumberFormat="1" applyFont="1" applyFill="1" applyBorder="1" applyAlignment="1">
      <alignment/>
    </xf>
    <xf numFmtId="0" fontId="136" fillId="0" borderId="0" xfId="0" applyFont="1" applyAlignment="1">
      <alignment/>
    </xf>
    <xf numFmtId="0" fontId="137" fillId="0" borderId="0" xfId="0" applyFont="1" applyBorder="1" applyAlignment="1">
      <alignment vertical="center"/>
    </xf>
    <xf numFmtId="0" fontId="137" fillId="0" borderId="0" xfId="0" applyFont="1" applyAlignment="1">
      <alignment vertical="center"/>
    </xf>
    <xf numFmtId="0" fontId="138" fillId="0" borderId="0" xfId="0" applyFont="1" applyAlignment="1">
      <alignment vertical="center"/>
    </xf>
    <xf numFmtId="165" fontId="51" fillId="0" borderId="62" xfId="0" applyNumberFormat="1" applyFont="1" applyBorder="1" applyAlignment="1">
      <alignment horizontal="center" wrapText="1"/>
    </xf>
    <xf numFmtId="1" fontId="48" fillId="0" borderId="0" xfId="0" applyNumberFormat="1" applyFont="1" applyBorder="1" applyAlignment="1">
      <alignment horizontal="center" vertical="center" wrapText="1"/>
    </xf>
    <xf numFmtId="1" fontId="48" fillId="0" borderId="0" xfId="0" applyNumberFormat="1" applyFont="1" applyBorder="1" applyAlignment="1">
      <alignment horizontal="center" wrapText="1"/>
    </xf>
    <xf numFmtId="2" fontId="48" fillId="0" borderId="77" xfId="0" applyNumberFormat="1" applyFont="1" applyBorder="1" applyAlignment="1">
      <alignment horizontal="center" wrapText="1"/>
    </xf>
    <xf numFmtId="165" fontId="51" fillId="0" borderId="0" xfId="0" applyNumberFormat="1" applyFont="1" applyFill="1" applyBorder="1" applyAlignment="1">
      <alignment horizontal="center" wrapText="1"/>
    </xf>
    <xf numFmtId="1" fontId="48" fillId="0" borderId="0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wrapText="1"/>
    </xf>
    <xf numFmtId="165" fontId="51" fillId="0" borderId="62" xfId="0" applyNumberFormat="1" applyFont="1" applyFill="1" applyBorder="1" applyAlignment="1">
      <alignment horizontal="center" wrapText="1"/>
    </xf>
    <xf numFmtId="2" fontId="48" fillId="0" borderId="77" xfId="0" applyNumberFormat="1" applyFont="1" applyFill="1" applyBorder="1" applyAlignment="1">
      <alignment horizontal="center" wrapText="1"/>
    </xf>
    <xf numFmtId="0" fontId="139" fillId="0" borderId="0" xfId="0" applyFont="1" applyAlignment="1">
      <alignment/>
    </xf>
    <xf numFmtId="0" fontId="134" fillId="0" borderId="0" xfId="0" applyFont="1" applyAlignment="1">
      <alignment/>
    </xf>
    <xf numFmtId="0" fontId="22" fillId="0" borderId="24" xfId="55" applyFont="1" applyFill="1" applyBorder="1" applyAlignment="1">
      <alignment horizontal="left" vertical="center" wrapText="1"/>
      <protection/>
    </xf>
    <xf numFmtId="0" fontId="12" fillId="0" borderId="24" xfId="55" applyFont="1" applyFill="1" applyBorder="1" applyAlignment="1">
      <alignment horizontal="left" vertical="center" wrapText="1"/>
      <protection/>
    </xf>
    <xf numFmtId="0" fontId="22" fillId="0" borderId="24" xfId="55" applyFont="1" applyFill="1" applyBorder="1" applyAlignment="1">
      <alignment horizontal="center" vertical="center" wrapText="1"/>
      <protection/>
    </xf>
    <xf numFmtId="0" fontId="22" fillId="0" borderId="32" xfId="55" applyFont="1" applyFill="1" applyBorder="1" applyAlignment="1">
      <alignment horizontal="center" vertical="center" wrapText="1"/>
      <protection/>
    </xf>
    <xf numFmtId="0" fontId="37" fillId="36" borderId="34" xfId="0" applyFont="1" applyFill="1" applyBorder="1" applyAlignment="1">
      <alignment horizontal="left" vertical="center" wrapText="1"/>
    </xf>
    <xf numFmtId="0" fontId="37" fillId="36" borderId="32" xfId="0" applyFont="1" applyFill="1" applyBorder="1" applyAlignment="1">
      <alignment horizontal="left" vertical="center" wrapText="1"/>
    </xf>
    <xf numFmtId="0" fontId="37" fillId="36" borderId="28" xfId="0" applyFont="1" applyFill="1" applyBorder="1" applyAlignment="1">
      <alignment horizontal="left" vertical="center" wrapText="1"/>
    </xf>
    <xf numFmtId="0" fontId="52" fillId="36" borderId="23" xfId="0" applyFont="1" applyFill="1" applyBorder="1" applyAlignment="1">
      <alignment horizontal="left" vertical="center" wrapText="1"/>
    </xf>
    <xf numFmtId="0" fontId="52" fillId="36" borderId="24" xfId="0" applyFont="1" applyFill="1" applyBorder="1" applyAlignment="1">
      <alignment horizontal="left" vertical="center" wrapText="1"/>
    </xf>
    <xf numFmtId="0" fontId="52" fillId="36" borderId="29" xfId="0" applyFont="1" applyFill="1" applyBorder="1" applyAlignment="1">
      <alignment horizontal="left" vertical="center" wrapText="1"/>
    </xf>
    <xf numFmtId="0" fontId="37" fillId="36" borderId="14" xfId="0" applyFont="1" applyFill="1" applyBorder="1" applyAlignment="1">
      <alignment horizontal="center" vertical="center" wrapText="1"/>
    </xf>
    <xf numFmtId="0" fontId="37" fillId="36" borderId="15" xfId="0" applyFont="1" applyFill="1" applyBorder="1" applyAlignment="1">
      <alignment horizontal="center" vertical="center" wrapText="1"/>
    </xf>
    <xf numFmtId="0" fontId="37" fillId="36" borderId="45" xfId="0" applyFont="1" applyFill="1" applyBorder="1" applyAlignment="1">
      <alignment horizontal="center" vertical="center" wrapText="1"/>
    </xf>
    <xf numFmtId="2" fontId="22" fillId="36" borderId="35" xfId="0" applyNumberFormat="1" applyFont="1" applyFill="1" applyBorder="1" applyAlignment="1">
      <alignment horizontal="center" vertical="center"/>
    </xf>
    <xf numFmtId="2" fontId="22" fillId="36" borderId="33" xfId="0" applyNumberFormat="1" applyFont="1" applyFill="1" applyBorder="1" applyAlignment="1">
      <alignment horizontal="center" vertical="center"/>
    </xf>
    <xf numFmtId="2" fontId="22" fillId="36" borderId="30" xfId="0" applyNumberFormat="1" applyFont="1" applyFill="1" applyBorder="1" applyAlignment="1">
      <alignment horizontal="center" vertical="center"/>
    </xf>
    <xf numFmtId="0" fontId="37" fillId="36" borderId="23" xfId="0" applyFont="1" applyFill="1" applyBorder="1" applyAlignment="1">
      <alignment horizontal="center" vertical="center" wrapText="1"/>
    </xf>
    <xf numFmtId="0" fontId="37" fillId="36" borderId="24" xfId="0" applyFont="1" applyFill="1" applyBorder="1" applyAlignment="1">
      <alignment horizontal="center" vertical="center" wrapText="1"/>
    </xf>
    <xf numFmtId="0" fontId="37" fillId="36" borderId="29" xfId="0" applyFont="1" applyFill="1" applyBorder="1" applyAlignment="1">
      <alignment horizontal="center" vertical="center" wrapText="1"/>
    </xf>
    <xf numFmtId="0" fontId="22" fillId="0" borderId="27" xfId="56" applyFont="1" applyFill="1" applyBorder="1" applyAlignment="1">
      <alignment horizontal="left" wrapText="1"/>
      <protection/>
    </xf>
    <xf numFmtId="0" fontId="20" fillId="0" borderId="34" xfId="56" applyFont="1" applyFill="1" applyBorder="1" applyAlignment="1">
      <alignment horizontal="left" wrapText="1"/>
      <protection/>
    </xf>
    <xf numFmtId="0" fontId="21" fillId="0" borderId="23" xfId="56" applyFont="1" applyFill="1" applyBorder="1" applyAlignment="1">
      <alignment horizontal="left" wrapText="1"/>
      <protection/>
    </xf>
    <xf numFmtId="1" fontId="20" fillId="0" borderId="34" xfId="56" applyNumberFormat="1" applyFont="1" applyFill="1" applyBorder="1" applyAlignment="1">
      <alignment horizontal="center" wrapText="1"/>
      <protection/>
    </xf>
    <xf numFmtId="1" fontId="20" fillId="0" borderId="23" xfId="56" applyNumberFormat="1" applyFont="1" applyFill="1" applyBorder="1" applyAlignment="1">
      <alignment horizontal="center" wrapText="1"/>
      <protection/>
    </xf>
    <xf numFmtId="2" fontId="20" fillId="0" borderId="35" xfId="56" applyNumberFormat="1" applyFont="1" applyFill="1" applyBorder="1" applyAlignment="1">
      <alignment horizontal="center" wrapText="1"/>
      <protection/>
    </xf>
    <xf numFmtId="0" fontId="20" fillId="0" borderId="23" xfId="56" applyFont="1" applyFill="1" applyBorder="1" applyAlignment="1">
      <alignment horizontal="center" wrapText="1"/>
      <protection/>
    </xf>
    <xf numFmtId="0" fontId="20" fillId="0" borderId="32" xfId="56" applyFont="1" applyFill="1" applyBorder="1" applyAlignment="1">
      <alignment horizontal="left" wrapText="1"/>
      <protection/>
    </xf>
    <xf numFmtId="0" fontId="21" fillId="0" borderId="24" xfId="56" applyFont="1" applyFill="1" applyBorder="1" applyAlignment="1">
      <alignment horizontal="left" wrapText="1"/>
      <protection/>
    </xf>
    <xf numFmtId="1" fontId="20" fillId="0" borderId="32" xfId="56" applyNumberFormat="1" applyFont="1" applyFill="1" applyBorder="1" applyAlignment="1">
      <alignment horizontal="center" wrapText="1"/>
      <protection/>
    </xf>
    <xf numFmtId="2" fontId="20" fillId="0" borderId="24" xfId="56" applyNumberFormat="1" applyFont="1" applyFill="1" applyBorder="1" applyAlignment="1">
      <alignment horizontal="center" wrapText="1"/>
      <protection/>
    </xf>
    <xf numFmtId="2" fontId="20" fillId="0" borderId="33" xfId="56" applyNumberFormat="1" applyFont="1" applyFill="1" applyBorder="1" applyAlignment="1">
      <alignment horizontal="center" wrapText="1"/>
      <protection/>
    </xf>
    <xf numFmtId="0" fontId="20" fillId="0" borderId="24" xfId="56" applyFont="1" applyFill="1" applyBorder="1" applyAlignment="1">
      <alignment horizontal="center" wrapText="1"/>
      <protection/>
    </xf>
    <xf numFmtId="2" fontId="12" fillId="0" borderId="15" xfId="0" applyNumberFormat="1" applyFont="1" applyFill="1" applyBorder="1" applyAlignment="1">
      <alignment horizontal="center" wrapText="1"/>
    </xf>
    <xf numFmtId="0" fontId="20" fillId="0" borderId="28" xfId="56" applyFont="1" applyFill="1" applyBorder="1" applyAlignment="1">
      <alignment horizontal="left" wrapText="1"/>
      <protection/>
    </xf>
    <xf numFmtId="0" fontId="21" fillId="0" borderId="29" xfId="56" applyFont="1" applyFill="1" applyBorder="1" applyAlignment="1">
      <alignment horizontal="left" wrapText="1"/>
      <protection/>
    </xf>
    <xf numFmtId="1" fontId="20" fillId="0" borderId="28" xfId="56" applyNumberFormat="1" applyFont="1" applyFill="1" applyBorder="1" applyAlignment="1">
      <alignment horizontal="center" wrapText="1"/>
      <protection/>
    </xf>
    <xf numFmtId="2" fontId="20" fillId="0" borderId="29" xfId="56" applyNumberFormat="1" applyFont="1" applyFill="1" applyBorder="1" applyAlignment="1">
      <alignment horizontal="center" wrapText="1"/>
      <protection/>
    </xf>
    <xf numFmtId="2" fontId="20" fillId="0" borderId="30" xfId="56" applyNumberFormat="1" applyFont="1" applyFill="1" applyBorder="1" applyAlignment="1">
      <alignment horizontal="center" wrapText="1"/>
      <protection/>
    </xf>
    <xf numFmtId="0" fontId="20" fillId="0" borderId="71" xfId="56" applyFont="1" applyFill="1" applyBorder="1" applyAlignment="1">
      <alignment horizontal="center" wrapText="1"/>
      <protection/>
    </xf>
    <xf numFmtId="2" fontId="12" fillId="0" borderId="16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35" borderId="46" xfId="0" applyFont="1" applyFill="1" applyBorder="1" applyAlignment="1">
      <alignment horizontal="center" vertical="center"/>
    </xf>
    <xf numFmtId="0" fontId="21" fillId="35" borderId="20" xfId="0" applyFont="1" applyFill="1" applyBorder="1" applyAlignment="1">
      <alignment horizontal="center" vertical="center"/>
    </xf>
    <xf numFmtId="0" fontId="21" fillId="35" borderId="20" xfId="0" applyFont="1" applyFill="1" applyBorder="1" applyAlignment="1">
      <alignment horizontal="center" vertical="center" wrapText="1"/>
    </xf>
    <xf numFmtId="0" fontId="21" fillId="35" borderId="46" xfId="0" applyFont="1" applyFill="1" applyBorder="1" applyAlignment="1">
      <alignment wrapText="1"/>
    </xf>
    <xf numFmtId="0" fontId="21" fillId="35" borderId="20" xfId="0" applyFont="1" applyFill="1" applyBorder="1" applyAlignment="1">
      <alignment horizontal="center"/>
    </xf>
    <xf numFmtId="0" fontId="21" fillId="35" borderId="4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34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23" xfId="0" applyFont="1" applyFill="1" applyBorder="1" applyAlignment="1">
      <alignment wrapText="1"/>
    </xf>
    <xf numFmtId="0" fontId="20" fillId="0" borderId="35" xfId="0" applyFont="1" applyFill="1" applyBorder="1" applyAlignment="1">
      <alignment wrapText="1"/>
    </xf>
    <xf numFmtId="1" fontId="21" fillId="0" borderId="23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9" fontId="20" fillId="0" borderId="0" xfId="60" applyFont="1" applyFill="1" applyBorder="1" applyAlignment="1">
      <alignment horizontal="center"/>
    </xf>
    <xf numFmtId="0" fontId="20" fillId="0" borderId="32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24" xfId="0" applyFont="1" applyFill="1" applyBorder="1" applyAlignment="1">
      <alignment wrapText="1"/>
    </xf>
    <xf numFmtId="0" fontId="20" fillId="0" borderId="33" xfId="0" applyFont="1" applyFill="1" applyBorder="1" applyAlignment="1">
      <alignment wrapText="1"/>
    </xf>
    <xf numFmtId="1" fontId="21" fillId="0" borderId="25" xfId="0" applyNumberFormat="1" applyFont="1" applyFill="1" applyBorder="1" applyAlignment="1">
      <alignment/>
    </xf>
    <xf numFmtId="0" fontId="20" fillId="0" borderId="15" xfId="0" applyFont="1" applyFill="1" applyBorder="1" applyAlignment="1">
      <alignment wrapText="1"/>
    </xf>
    <xf numFmtId="0" fontId="20" fillId="0" borderId="25" xfId="0" applyFont="1" applyFill="1" applyBorder="1" applyAlignment="1">
      <alignment wrapText="1"/>
    </xf>
    <xf numFmtId="0" fontId="20" fillId="0" borderId="36" xfId="0" applyFont="1" applyFill="1" applyBorder="1" applyAlignment="1">
      <alignment/>
    </xf>
    <xf numFmtId="0" fontId="20" fillId="0" borderId="27" xfId="0" applyFont="1" applyFill="1" applyBorder="1" applyAlignment="1">
      <alignment wrapText="1"/>
    </xf>
    <xf numFmtId="0" fontId="20" fillId="0" borderId="37" xfId="0" applyFont="1" applyFill="1" applyBorder="1" applyAlignment="1">
      <alignment wrapText="1"/>
    </xf>
    <xf numFmtId="0" fontId="20" fillId="0" borderId="65" xfId="0" applyFont="1" applyFill="1" applyBorder="1" applyAlignment="1">
      <alignment wrapText="1"/>
    </xf>
    <xf numFmtId="1" fontId="21" fillId="0" borderId="27" xfId="0" applyNumberFormat="1" applyFont="1" applyFill="1" applyBorder="1" applyAlignment="1">
      <alignment/>
    </xf>
    <xf numFmtId="0" fontId="37" fillId="0" borderId="34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37" fillId="0" borderId="7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2" fontId="22" fillId="0" borderId="23" xfId="0" applyNumberFormat="1" applyFont="1" applyBorder="1" applyAlignment="1">
      <alignment horizontal="center" vertical="center"/>
    </xf>
    <xf numFmtId="2" fontId="22" fillId="0" borderId="55" xfId="0" applyNumberFormat="1" applyFont="1" applyBorder="1" applyAlignment="1">
      <alignment horizontal="center" vertical="center" wrapText="1"/>
    </xf>
    <xf numFmtId="0" fontId="37" fillId="0" borderId="32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2" fontId="22" fillId="0" borderId="24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 wrapText="1"/>
    </xf>
    <xf numFmtId="0" fontId="52" fillId="0" borderId="24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52" fillId="0" borderId="29" xfId="0" applyFont="1" applyBorder="1" applyAlignment="1">
      <alignment horizontal="left" vertical="center" wrapText="1"/>
    </xf>
    <xf numFmtId="0" fontId="37" fillId="0" borderId="65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2" fontId="22" fillId="0" borderId="29" xfId="0" applyNumberFormat="1" applyFont="1" applyBorder="1" applyAlignment="1">
      <alignment horizontal="center" vertical="center"/>
    </xf>
    <xf numFmtId="2" fontId="22" fillId="0" borderId="37" xfId="0" applyNumberFormat="1" applyFont="1" applyBorder="1" applyAlignment="1">
      <alignment horizontal="center" vertical="center" wrapText="1"/>
    </xf>
    <xf numFmtId="1" fontId="10" fillId="0" borderId="69" xfId="0" applyNumberFormat="1" applyFont="1" applyBorder="1" applyAlignment="1">
      <alignment horizontal="center" wrapText="1"/>
    </xf>
    <xf numFmtId="1" fontId="9" fillId="0" borderId="55" xfId="0" applyNumberFormat="1" applyFont="1" applyBorder="1" applyAlignment="1">
      <alignment horizontal="center" wrapText="1"/>
    </xf>
    <xf numFmtId="1" fontId="10" fillId="0" borderId="69" xfId="0" applyNumberFormat="1" applyFont="1" applyFill="1" applyBorder="1" applyAlignment="1">
      <alignment horizontal="center" wrapText="1"/>
    </xf>
    <xf numFmtId="0" fontId="10" fillId="0" borderId="32" xfId="0" applyFont="1" applyBorder="1" applyAlignment="1">
      <alignment horizontal="left" wrapText="1"/>
    </xf>
    <xf numFmtId="0" fontId="9" fillId="0" borderId="24" xfId="0" applyFont="1" applyBorder="1" applyAlignment="1">
      <alignment horizontal="center" wrapText="1"/>
    </xf>
    <xf numFmtId="0" fontId="9" fillId="0" borderId="79" xfId="0" applyFont="1" applyBorder="1" applyAlignment="1">
      <alignment horizontal="center" wrapText="1"/>
    </xf>
    <xf numFmtId="0" fontId="22" fillId="0" borderId="27" xfId="55" applyFont="1" applyFill="1" applyBorder="1" applyAlignment="1">
      <alignment horizontal="left" vertical="center" wrapText="1"/>
      <protection/>
    </xf>
    <xf numFmtId="0" fontId="12" fillId="0" borderId="27" xfId="55" applyFont="1" applyFill="1" applyBorder="1" applyAlignment="1">
      <alignment horizontal="left" vertical="center" wrapText="1"/>
      <protection/>
    </xf>
    <xf numFmtId="0" fontId="22" fillId="0" borderId="27" xfId="55" applyFont="1" applyFill="1" applyBorder="1" applyAlignment="1">
      <alignment horizontal="center" vertical="center" wrapText="1"/>
      <protection/>
    </xf>
    <xf numFmtId="0" fontId="22" fillId="0" borderId="36" xfId="55" applyFont="1" applyFill="1" applyBorder="1" applyAlignment="1">
      <alignment horizontal="center" vertical="center" wrapText="1"/>
      <protection/>
    </xf>
    <xf numFmtId="1" fontId="140" fillId="0" borderId="60" xfId="56" applyNumberFormat="1" applyFont="1" applyFill="1" applyBorder="1" applyAlignment="1">
      <alignment horizontal="center" wrapText="1"/>
      <protection/>
    </xf>
    <xf numFmtId="1" fontId="140" fillId="0" borderId="32" xfId="56" applyNumberFormat="1" applyFont="1" applyFill="1" applyBorder="1" applyAlignment="1">
      <alignment horizontal="center" wrapText="1"/>
      <protection/>
    </xf>
    <xf numFmtId="1" fontId="140" fillId="0" borderId="28" xfId="56" applyNumberFormat="1" applyFont="1" applyFill="1" applyBorder="1" applyAlignment="1">
      <alignment horizontal="center" wrapText="1"/>
      <protection/>
    </xf>
    <xf numFmtId="1" fontId="140" fillId="0" borderId="34" xfId="0" applyNumberFormat="1" applyFont="1" applyFill="1" applyBorder="1" applyAlignment="1">
      <alignment horizontal="center" wrapText="1"/>
    </xf>
    <xf numFmtId="1" fontId="140" fillId="0" borderId="60" xfId="0" applyNumberFormat="1" applyFont="1" applyFill="1" applyBorder="1" applyAlignment="1">
      <alignment horizontal="center" wrapText="1"/>
    </xf>
    <xf numFmtId="1" fontId="140" fillId="0" borderId="28" xfId="0" applyNumberFormat="1" applyFont="1" applyFill="1" applyBorder="1" applyAlignment="1">
      <alignment horizontal="center" wrapText="1"/>
    </xf>
    <xf numFmtId="1" fontId="140" fillId="0" borderId="34" xfId="56" applyNumberFormat="1" applyFont="1" applyFill="1" applyBorder="1" applyAlignment="1">
      <alignment horizontal="center" wrapText="1"/>
      <protection/>
    </xf>
    <xf numFmtId="1" fontId="140" fillId="0" borderId="70" xfId="56" applyNumberFormat="1" applyFont="1" applyFill="1" applyBorder="1" applyAlignment="1">
      <alignment horizontal="center" wrapText="1"/>
      <protection/>
    </xf>
    <xf numFmtId="1" fontId="140" fillId="0" borderId="36" xfId="56" applyNumberFormat="1" applyFont="1" applyFill="1" applyBorder="1" applyAlignment="1">
      <alignment horizontal="center" wrapText="1"/>
      <protection/>
    </xf>
    <xf numFmtId="1" fontId="140" fillId="0" borderId="32" xfId="0" applyNumberFormat="1" applyFont="1" applyFill="1" applyBorder="1" applyAlignment="1">
      <alignment horizontal="center" wrapText="1"/>
    </xf>
    <xf numFmtId="1" fontId="140" fillId="0" borderId="36" xfId="0" applyNumberFormat="1" applyFont="1" applyFill="1" applyBorder="1" applyAlignment="1">
      <alignment horizontal="center" wrapText="1"/>
    </xf>
    <xf numFmtId="1" fontId="140" fillId="0" borderId="69" xfId="56" applyNumberFormat="1" applyFont="1" applyFill="1" applyBorder="1" applyAlignment="1">
      <alignment horizontal="center" wrapText="1"/>
      <protection/>
    </xf>
    <xf numFmtId="1" fontId="140" fillId="0" borderId="15" xfId="56" applyNumberFormat="1" applyFont="1" applyFill="1" applyBorder="1" applyAlignment="1">
      <alignment horizontal="center" wrapText="1"/>
      <protection/>
    </xf>
    <xf numFmtId="1" fontId="140" fillId="0" borderId="62" xfId="56" applyNumberFormat="1" applyFont="1" applyFill="1" applyBorder="1" applyAlignment="1">
      <alignment horizontal="center" wrapText="1"/>
      <protection/>
    </xf>
    <xf numFmtId="0" fontId="141" fillId="0" borderId="0" xfId="0" applyFont="1" applyAlignment="1">
      <alignment wrapText="1"/>
    </xf>
    <xf numFmtId="1" fontId="140" fillId="0" borderId="14" xfId="56" applyNumberFormat="1" applyFont="1" applyFill="1" applyBorder="1" applyAlignment="1">
      <alignment horizontal="center" wrapText="1"/>
      <protection/>
    </xf>
    <xf numFmtId="1" fontId="140" fillId="0" borderId="16" xfId="56" applyNumberFormat="1" applyFont="1" applyFill="1" applyBorder="1" applyAlignment="1">
      <alignment horizontal="center" wrapText="1"/>
      <protection/>
    </xf>
    <xf numFmtId="1" fontId="140" fillId="0" borderId="37" xfId="56" applyNumberFormat="1" applyFont="1" applyFill="1" applyBorder="1" applyAlignment="1">
      <alignment horizontal="center" wrapText="1"/>
      <protection/>
    </xf>
    <xf numFmtId="0" fontId="138" fillId="0" borderId="0" xfId="0" applyFont="1" applyBorder="1" applyAlignment="1">
      <alignment vertical="center"/>
    </xf>
    <xf numFmtId="1" fontId="131" fillId="0" borderId="34" xfId="0" applyNumberFormat="1" applyFont="1" applyFill="1" applyBorder="1" applyAlignment="1">
      <alignment horizontal="center" vertical="center" wrapText="1"/>
    </xf>
    <xf numFmtId="1" fontId="131" fillId="0" borderId="60" xfId="0" applyNumberFormat="1" applyFont="1" applyFill="1" applyBorder="1" applyAlignment="1">
      <alignment horizontal="center" vertical="center" wrapText="1"/>
    </xf>
    <xf numFmtId="0" fontId="138" fillId="0" borderId="0" xfId="0" applyFont="1" applyFill="1" applyAlignment="1">
      <alignment/>
    </xf>
    <xf numFmtId="1" fontId="131" fillId="0" borderId="36" xfId="0" applyNumberFormat="1" applyFont="1" applyFill="1" applyBorder="1" applyAlignment="1">
      <alignment horizontal="center" vertical="center" wrapText="1"/>
    </xf>
    <xf numFmtId="1" fontId="142" fillId="0" borderId="16" xfId="55" applyNumberFormat="1" applyFont="1" applyFill="1" applyBorder="1" applyAlignment="1">
      <alignment horizontal="center" vertical="center" wrapText="1"/>
      <protection/>
    </xf>
    <xf numFmtId="1" fontId="142" fillId="0" borderId="60" xfId="55" applyNumberFormat="1" applyFont="1" applyFill="1" applyBorder="1" applyAlignment="1">
      <alignment horizontal="center" vertical="center" wrapText="1"/>
      <protection/>
    </xf>
    <xf numFmtId="1" fontId="142" fillId="0" borderId="37" xfId="55" applyNumberFormat="1" applyFont="1" applyFill="1" applyBorder="1" applyAlignment="1">
      <alignment horizontal="center" vertical="center" wrapText="1"/>
      <protection/>
    </xf>
    <xf numFmtId="1" fontId="142" fillId="0" borderId="36" xfId="55" applyNumberFormat="1" applyFont="1" applyFill="1" applyBorder="1" applyAlignment="1">
      <alignment horizontal="center" vertical="center" wrapText="1"/>
      <protection/>
    </xf>
    <xf numFmtId="1" fontId="142" fillId="0" borderId="60" xfId="55" applyNumberFormat="1" applyFont="1" applyFill="1" applyBorder="1" applyAlignment="1">
      <alignment horizontal="center" wrapText="1"/>
      <protection/>
    </xf>
    <xf numFmtId="1" fontId="142" fillId="0" borderId="32" xfId="55" applyNumberFormat="1" applyFont="1" applyFill="1" applyBorder="1" applyAlignment="1">
      <alignment horizontal="center" wrapText="1"/>
      <protection/>
    </xf>
    <xf numFmtId="1" fontId="142" fillId="0" borderId="36" xfId="55" applyNumberFormat="1" applyFont="1" applyFill="1" applyBorder="1" applyAlignment="1">
      <alignment horizontal="center" wrapText="1"/>
      <protection/>
    </xf>
    <xf numFmtId="0" fontId="22" fillId="0" borderId="46" xfId="56" applyFont="1" applyFill="1" applyBorder="1" applyAlignment="1">
      <alignment horizontal="left" wrapText="1"/>
      <protection/>
    </xf>
    <xf numFmtId="0" fontId="12" fillId="0" borderId="63" xfId="56" applyFont="1" applyFill="1" applyBorder="1" applyAlignment="1">
      <alignment horizontal="left" wrapText="1"/>
      <protection/>
    </xf>
    <xf numFmtId="1" fontId="22" fillId="0" borderId="46" xfId="56" applyNumberFormat="1" applyFont="1" applyFill="1" applyBorder="1" applyAlignment="1">
      <alignment horizontal="center" wrapText="1"/>
      <protection/>
    </xf>
    <xf numFmtId="1" fontId="22" fillId="0" borderId="20" xfId="56" applyNumberFormat="1" applyFont="1" applyFill="1" applyBorder="1" applyAlignment="1">
      <alignment horizontal="center" wrapText="1"/>
      <protection/>
    </xf>
    <xf numFmtId="0" fontId="130" fillId="0" borderId="0" xfId="0" applyNumberFormat="1" applyFont="1" applyAlignment="1">
      <alignment/>
    </xf>
    <xf numFmtId="0" fontId="22" fillId="0" borderId="31" xfId="55" applyFont="1" applyBorder="1" applyAlignment="1">
      <alignment horizontal="center" vertical="center" wrapText="1"/>
      <protection/>
    </xf>
    <xf numFmtId="0" fontId="22" fillId="0" borderId="33" xfId="55" applyFont="1" applyBorder="1" applyAlignment="1">
      <alignment horizontal="center" vertical="center" wrapText="1"/>
      <protection/>
    </xf>
    <xf numFmtId="0" fontId="22" fillId="0" borderId="30" xfId="55" applyFont="1" applyBorder="1" applyAlignment="1">
      <alignment horizontal="center" vertical="center" wrapText="1"/>
      <protection/>
    </xf>
    <xf numFmtId="0" fontId="22" fillId="0" borderId="23" xfId="55" applyFont="1" applyFill="1" applyBorder="1" applyAlignment="1">
      <alignment horizontal="center" vertical="center" wrapText="1"/>
      <protection/>
    </xf>
    <xf numFmtId="0" fontId="22" fillId="0" borderId="29" xfId="55" applyFont="1" applyFill="1" applyBorder="1" applyAlignment="1">
      <alignment horizontal="center" vertical="center" wrapText="1"/>
      <protection/>
    </xf>
    <xf numFmtId="0" fontId="132" fillId="0" borderId="0" xfId="0" applyFont="1" applyAlignment="1">
      <alignment/>
    </xf>
    <xf numFmtId="0" fontId="20" fillId="0" borderId="2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12" fillId="0" borderId="57" xfId="0" applyFont="1" applyBorder="1" applyAlignment="1">
      <alignment horizontal="left" wrapText="1"/>
    </xf>
    <xf numFmtId="1" fontId="22" fillId="0" borderId="60" xfId="0" applyNumberFormat="1" applyFont="1" applyFill="1" applyBorder="1" applyAlignment="1">
      <alignment horizontal="center" wrapText="1"/>
    </xf>
    <xf numFmtId="0" fontId="12" fillId="0" borderId="79" xfId="0" applyFont="1" applyBorder="1" applyAlignment="1">
      <alignment horizontal="left" wrapText="1"/>
    </xf>
    <xf numFmtId="0" fontId="22" fillId="0" borderId="29" xfId="0" applyFont="1" applyBorder="1" applyAlignment="1">
      <alignment horizontal="left" wrapText="1"/>
    </xf>
    <xf numFmtId="0" fontId="12" fillId="0" borderId="67" xfId="0" applyFont="1" applyBorder="1" applyAlignment="1">
      <alignment horizontal="left" wrapText="1"/>
    </xf>
    <xf numFmtId="0" fontId="22" fillId="0" borderId="28" xfId="0" applyFont="1" applyBorder="1" applyAlignment="1">
      <alignment horizontal="center" wrapText="1"/>
    </xf>
    <xf numFmtId="2" fontId="22" fillId="0" borderId="24" xfId="0" applyNumberFormat="1" applyFont="1" applyFill="1" applyBorder="1" applyAlignment="1">
      <alignment horizontal="center" wrapText="1"/>
    </xf>
    <xf numFmtId="2" fontId="22" fillId="0" borderId="29" xfId="0" applyNumberFormat="1" applyFont="1" applyFill="1" applyBorder="1" applyAlignment="1">
      <alignment horizontal="center" wrapText="1"/>
    </xf>
    <xf numFmtId="2" fontId="22" fillId="0" borderId="23" xfId="0" applyNumberFormat="1" applyFont="1" applyFill="1" applyBorder="1" applyAlignment="1">
      <alignment horizontal="center" wrapText="1"/>
    </xf>
    <xf numFmtId="0" fontId="12" fillId="0" borderId="37" xfId="56" applyFont="1" applyFill="1" applyBorder="1" applyAlignment="1">
      <alignment horizontal="left" wrapText="1"/>
      <protection/>
    </xf>
    <xf numFmtId="1" fontId="22" fillId="0" borderId="36" xfId="56" applyNumberFormat="1" applyFont="1" applyFill="1" applyBorder="1" applyAlignment="1">
      <alignment horizontal="center" wrapText="1"/>
      <protection/>
    </xf>
    <xf numFmtId="1" fontId="22" fillId="0" borderId="27" xfId="56" applyNumberFormat="1" applyFont="1" applyFill="1" applyBorder="1" applyAlignment="1">
      <alignment horizontal="center" wrapText="1"/>
      <protection/>
    </xf>
    <xf numFmtId="2" fontId="22" fillId="0" borderId="65" xfId="56" applyNumberFormat="1" applyFont="1" applyFill="1" applyBorder="1" applyAlignment="1">
      <alignment horizontal="center" wrapText="1"/>
      <protection/>
    </xf>
    <xf numFmtId="0" fontId="22" fillId="0" borderId="27" xfId="56" applyFont="1" applyFill="1" applyBorder="1" applyAlignment="1">
      <alignment horizontal="center" wrapText="1"/>
      <protection/>
    </xf>
    <xf numFmtId="0" fontId="22" fillId="0" borderId="36" xfId="0" applyFont="1" applyFill="1" applyBorder="1" applyAlignment="1">
      <alignment horizontal="center" wrapText="1"/>
    </xf>
    <xf numFmtId="0" fontId="12" fillId="0" borderId="79" xfId="0" applyFont="1" applyFill="1" applyBorder="1" applyAlignment="1">
      <alignment horizontal="left" wrapText="1"/>
    </xf>
    <xf numFmtId="0" fontId="22" fillId="0" borderId="69" xfId="56" applyFont="1" applyFill="1" applyBorder="1" applyAlignment="1">
      <alignment horizontal="left" wrapText="1"/>
      <protection/>
    </xf>
    <xf numFmtId="1" fontId="22" fillId="0" borderId="69" xfId="56" applyNumberFormat="1" applyFont="1" applyFill="1" applyBorder="1" applyAlignment="1">
      <alignment horizontal="center" wrapText="1"/>
      <protection/>
    </xf>
    <xf numFmtId="1" fontId="22" fillId="0" borderId="26" xfId="56" applyNumberFormat="1" applyFont="1" applyFill="1" applyBorder="1" applyAlignment="1">
      <alignment horizontal="center" wrapText="1"/>
      <protection/>
    </xf>
    <xf numFmtId="2" fontId="22" fillId="0" borderId="74" xfId="56" applyNumberFormat="1" applyFont="1" applyFill="1" applyBorder="1" applyAlignment="1">
      <alignment horizontal="center" wrapText="1"/>
      <protection/>
    </xf>
    <xf numFmtId="0" fontId="12" fillId="0" borderId="27" xfId="56" applyFont="1" applyFill="1" applyBorder="1" applyAlignment="1">
      <alignment horizontal="left" wrapText="1"/>
      <protection/>
    </xf>
    <xf numFmtId="0" fontId="12" fillId="0" borderId="45" xfId="0" applyFont="1" applyBorder="1" applyAlignment="1">
      <alignment horizontal="left" wrapText="1"/>
    </xf>
    <xf numFmtId="2" fontId="22" fillId="0" borderId="25" xfId="56" applyNumberFormat="1" applyFont="1" applyFill="1" applyBorder="1" applyAlignment="1">
      <alignment horizontal="center" wrapText="1"/>
      <protection/>
    </xf>
    <xf numFmtId="2" fontId="22" fillId="0" borderId="27" xfId="0" applyNumberFormat="1" applyFont="1" applyFill="1" applyBorder="1" applyAlignment="1">
      <alignment horizontal="center" wrapText="1"/>
    </xf>
    <xf numFmtId="0" fontId="12" fillId="0" borderId="54" xfId="56" applyFont="1" applyFill="1" applyBorder="1" applyAlignment="1">
      <alignment horizontal="left" wrapText="1"/>
      <protection/>
    </xf>
    <xf numFmtId="0" fontId="12" fillId="0" borderId="76" xfId="0" applyFont="1" applyBorder="1" applyAlignment="1">
      <alignment horizontal="left" wrapText="1"/>
    </xf>
    <xf numFmtId="0" fontId="12" fillId="0" borderId="35" xfId="0" applyFont="1" applyBorder="1" applyAlignment="1">
      <alignment horizontal="left" wrapText="1"/>
    </xf>
    <xf numFmtId="2" fontId="12" fillId="0" borderId="0" xfId="0" applyNumberFormat="1" applyFont="1" applyAlignment="1">
      <alignment wrapText="1"/>
    </xf>
    <xf numFmtId="0" fontId="12" fillId="0" borderId="83" xfId="0" applyFont="1" applyBorder="1" applyAlignment="1">
      <alignment horizontal="left" wrapText="1"/>
    </xf>
    <xf numFmtId="1" fontId="22" fillId="0" borderId="62" xfId="0" applyNumberFormat="1" applyFont="1" applyFill="1" applyBorder="1" applyAlignment="1">
      <alignment horizontal="center" wrapText="1"/>
    </xf>
    <xf numFmtId="1" fontId="22" fillId="0" borderId="71" xfId="0" applyNumberFormat="1" applyFont="1" applyFill="1" applyBorder="1" applyAlignment="1">
      <alignment horizontal="center" wrapText="1"/>
    </xf>
    <xf numFmtId="2" fontId="22" fillId="0" borderId="84" xfId="0" applyNumberFormat="1" applyFont="1" applyFill="1" applyBorder="1" applyAlignment="1">
      <alignment horizontal="center" wrapText="1"/>
    </xf>
    <xf numFmtId="0" fontId="12" fillId="0" borderId="57" xfId="55" applyFont="1" applyBorder="1" applyAlignment="1">
      <alignment horizontal="left" vertical="center" wrapText="1"/>
      <protection/>
    </xf>
    <xf numFmtId="0" fontId="22" fillId="0" borderId="25" xfId="55" applyFont="1" applyFill="1" applyBorder="1" applyAlignment="1">
      <alignment horizontal="center" vertical="center" wrapText="1"/>
      <protection/>
    </xf>
    <xf numFmtId="1" fontId="22" fillId="0" borderId="15" xfId="0" applyNumberFormat="1" applyFont="1" applyBorder="1" applyAlignment="1">
      <alignment horizontal="center" wrapText="1"/>
    </xf>
    <xf numFmtId="0" fontId="10" fillId="0" borderId="48" xfId="0" applyFont="1" applyFill="1" applyBorder="1" applyAlignment="1">
      <alignment horizontal="left" wrapText="1"/>
    </xf>
    <xf numFmtId="1" fontId="9" fillId="0" borderId="79" xfId="0" applyNumberFormat="1" applyFont="1" applyFill="1" applyBorder="1" applyAlignment="1">
      <alignment horizontal="center" wrapText="1"/>
    </xf>
    <xf numFmtId="1" fontId="9" fillId="0" borderId="48" xfId="0" applyNumberFormat="1" applyFont="1" applyFill="1" applyBorder="1" applyAlignment="1">
      <alignment horizontal="center" wrapText="1"/>
    </xf>
    <xf numFmtId="2" fontId="9" fillId="0" borderId="57" xfId="0" applyNumberFormat="1" applyFont="1" applyFill="1" applyBorder="1" applyAlignment="1">
      <alignment horizontal="center" wrapText="1"/>
    </xf>
    <xf numFmtId="2" fontId="9" fillId="0" borderId="48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40" xfId="0" applyFont="1" applyFill="1" applyBorder="1" applyAlignment="1">
      <alignment horizontal="left" wrapText="1"/>
    </xf>
    <xf numFmtId="0" fontId="10" fillId="0" borderId="53" xfId="0" applyFont="1" applyFill="1" applyBorder="1" applyAlignment="1">
      <alignment horizontal="left" wrapText="1"/>
    </xf>
    <xf numFmtId="1" fontId="9" fillId="0" borderId="67" xfId="0" applyNumberFormat="1" applyFont="1" applyFill="1" applyBorder="1" applyAlignment="1">
      <alignment horizontal="center" wrapText="1"/>
    </xf>
    <xf numFmtId="2" fontId="9" fillId="0" borderId="53" xfId="0" applyNumberFormat="1" applyFont="1" applyFill="1" applyBorder="1" applyAlignment="1">
      <alignment horizontal="center" wrapText="1"/>
    </xf>
    <xf numFmtId="2" fontId="9" fillId="0" borderId="67" xfId="0" applyNumberFormat="1" applyFont="1" applyFill="1" applyBorder="1" applyAlignment="1">
      <alignment horizontal="center" wrapText="1"/>
    </xf>
    <xf numFmtId="2" fontId="9" fillId="0" borderId="39" xfId="0" applyNumberFormat="1" applyFont="1" applyFill="1" applyBorder="1" applyAlignment="1">
      <alignment horizontal="center" wrapText="1"/>
    </xf>
    <xf numFmtId="0" fontId="9" fillId="0" borderId="65" xfId="0" applyFont="1" applyFill="1" applyBorder="1" applyAlignment="1">
      <alignment horizontal="center" wrapText="1"/>
    </xf>
    <xf numFmtId="2" fontId="9" fillId="0" borderId="37" xfId="0" applyNumberFormat="1" applyFont="1" applyFill="1" applyBorder="1" applyAlignment="1">
      <alignment horizontal="center" wrapText="1"/>
    </xf>
    <xf numFmtId="0" fontId="9" fillId="0" borderId="43" xfId="0" applyFont="1" applyBorder="1" applyAlignment="1">
      <alignment horizontal="left" wrapText="1"/>
    </xf>
    <xf numFmtId="0" fontId="10" fillId="0" borderId="49" xfId="0" applyFont="1" applyBorder="1" applyAlignment="1">
      <alignment horizontal="left" wrapText="1"/>
    </xf>
    <xf numFmtId="0" fontId="9" fillId="0" borderId="48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41" xfId="0" applyFont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0" fontId="143" fillId="0" borderId="0" xfId="0" applyFont="1" applyAlignment="1">
      <alignment/>
    </xf>
    <xf numFmtId="0" fontId="13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3" fontId="4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0" fontId="39" fillId="0" borderId="0" xfId="0" applyFont="1" applyAlignment="1">
      <alignment horizontal="left"/>
    </xf>
    <xf numFmtId="0" fontId="29" fillId="0" borderId="0" xfId="0" applyFont="1" applyAlignment="1">
      <alignment wrapText="1"/>
    </xf>
    <xf numFmtId="1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4" fillId="0" borderId="0" xfId="0" applyFont="1" applyAlignment="1">
      <alignment/>
    </xf>
    <xf numFmtId="0" fontId="46" fillId="0" borderId="7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top" wrapText="1"/>
    </xf>
    <xf numFmtId="0" fontId="22" fillId="0" borderId="25" xfId="56" applyFont="1" applyFill="1" applyBorder="1" applyAlignment="1">
      <alignment horizontal="left" wrapText="1"/>
      <protection/>
    </xf>
    <xf numFmtId="0" fontId="12" fillId="0" borderId="16" xfId="0" applyFont="1" applyFill="1" applyBorder="1" applyAlignment="1">
      <alignment horizontal="left" wrapText="1"/>
    </xf>
    <xf numFmtId="0" fontId="22" fillId="0" borderId="25" xfId="56" applyFont="1" applyFill="1" applyBorder="1">
      <alignment/>
      <protection/>
    </xf>
    <xf numFmtId="0" fontId="22" fillId="0" borderId="16" xfId="56" applyFont="1" applyFill="1" applyBorder="1" applyAlignment="1">
      <alignment horizontal="center" wrapText="1"/>
      <protection/>
    </xf>
    <xf numFmtId="1" fontId="12" fillId="0" borderId="60" xfId="56" applyNumberFormat="1" applyFont="1" applyFill="1" applyBorder="1" applyAlignment="1">
      <alignment horizontal="center" wrapText="1"/>
      <protection/>
    </xf>
    <xf numFmtId="1" fontId="12" fillId="0" borderId="16" xfId="56" applyNumberFormat="1" applyFont="1" applyFill="1" applyBorder="1" applyAlignment="1">
      <alignment horizontal="center" wrapText="1"/>
      <protection/>
    </xf>
    <xf numFmtId="0" fontId="20" fillId="0" borderId="46" xfId="55" applyFont="1" applyFill="1" applyBorder="1" applyAlignment="1">
      <alignment horizontal="left" vertical="center" wrapText="1"/>
      <protection/>
    </xf>
    <xf numFmtId="0" fontId="20" fillId="0" borderId="20" xfId="55" applyFont="1" applyFill="1" applyBorder="1" applyAlignment="1">
      <alignment horizontal="left" vertical="center" wrapText="1"/>
      <protection/>
    </xf>
    <xf numFmtId="0" fontId="20" fillId="0" borderId="46" xfId="55" applyFont="1" applyFill="1" applyBorder="1" applyAlignment="1">
      <alignment horizontal="center" vertical="center" wrapText="1"/>
      <protection/>
    </xf>
    <xf numFmtId="0" fontId="20" fillId="0" borderId="20" xfId="55" applyFont="1" applyFill="1" applyBorder="1" applyAlignment="1">
      <alignment horizontal="center" vertical="center" wrapText="1"/>
      <protection/>
    </xf>
    <xf numFmtId="1" fontId="21" fillId="0" borderId="69" xfId="0" applyNumberFormat="1" applyFont="1" applyBorder="1" applyAlignment="1">
      <alignment horizontal="center" wrapText="1"/>
    </xf>
    <xf numFmtId="1" fontId="20" fillId="0" borderId="55" xfId="0" applyNumberFormat="1" applyFont="1" applyBorder="1" applyAlignment="1">
      <alignment horizont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 wrapText="1"/>
    </xf>
    <xf numFmtId="0" fontId="20" fillId="0" borderId="60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horizontal="center" wrapText="1"/>
    </xf>
    <xf numFmtId="0" fontId="20" fillId="0" borderId="51" xfId="0" applyFont="1" applyFill="1" applyBorder="1" applyAlignment="1">
      <alignment horizontal="center" vertical="center"/>
    </xf>
    <xf numFmtId="1" fontId="20" fillId="0" borderId="37" xfId="0" applyNumberFormat="1" applyFont="1" applyBorder="1" applyAlignment="1">
      <alignment horizontal="center" wrapText="1"/>
    </xf>
    <xf numFmtId="0" fontId="9" fillId="0" borderId="66" xfId="0" applyFont="1" applyBorder="1" applyAlignment="1">
      <alignment horizontal="center" vertical="center" wrapText="1"/>
    </xf>
    <xf numFmtId="0" fontId="10" fillId="0" borderId="16" xfId="55" applyFont="1" applyFill="1" applyBorder="1" applyAlignment="1">
      <alignment horizontal="left" vertical="center" wrapText="1"/>
      <protection/>
    </xf>
    <xf numFmtId="0" fontId="9" fillId="0" borderId="49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50" xfId="55" applyFont="1" applyFill="1" applyBorder="1" applyAlignment="1">
      <alignment horizontal="center" vertical="center" wrapText="1"/>
      <protection/>
    </xf>
    <xf numFmtId="0" fontId="9" fillId="0" borderId="82" xfId="55" applyFont="1" applyFill="1" applyBorder="1" applyAlignment="1">
      <alignment horizontal="center" vertical="center" wrapText="1"/>
      <protection/>
    </xf>
    <xf numFmtId="0" fontId="10" fillId="0" borderId="37" xfId="55" applyFont="1" applyFill="1" applyBorder="1" applyAlignment="1">
      <alignment horizontal="left" vertical="center" wrapText="1"/>
      <protection/>
    </xf>
    <xf numFmtId="0" fontId="9" fillId="0" borderId="37" xfId="55" applyFont="1" applyFill="1" applyBorder="1" applyAlignment="1">
      <alignment horizontal="center" vertical="center" wrapText="1"/>
      <protection/>
    </xf>
    <xf numFmtId="0" fontId="9" fillId="0" borderId="39" xfId="55" applyFont="1" applyFill="1" applyBorder="1" applyAlignment="1">
      <alignment horizontal="center" vertical="center" wrapText="1"/>
      <protection/>
    </xf>
    <xf numFmtId="0" fontId="9" fillId="0" borderId="80" xfId="55" applyFont="1" applyFill="1" applyBorder="1" applyAlignment="1">
      <alignment horizontal="center" vertical="center" wrapText="1"/>
      <protection/>
    </xf>
    <xf numFmtId="0" fontId="9" fillId="0" borderId="42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vertical="center" wrapText="1"/>
    </xf>
    <xf numFmtId="0" fontId="9" fillId="0" borderId="5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top" wrapText="1"/>
    </xf>
    <xf numFmtId="1" fontId="43" fillId="0" borderId="47" xfId="0" applyNumberFormat="1" applyFont="1" applyFill="1" applyBorder="1" applyAlignment="1">
      <alignment horizontal="center" vertical="center" wrapText="1"/>
    </xf>
    <xf numFmtId="0" fontId="46" fillId="0" borderId="78" xfId="0" applyFont="1" applyBorder="1" applyAlignment="1">
      <alignment horizontal="center" vertical="top" wrapText="1"/>
    </xf>
    <xf numFmtId="0" fontId="46" fillId="0" borderId="51" xfId="0" applyFont="1" applyBorder="1" applyAlignment="1">
      <alignment horizontal="center" vertical="top" wrapText="1"/>
    </xf>
    <xf numFmtId="0" fontId="15" fillId="0" borderId="41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15" fillId="0" borderId="56" xfId="0" applyFont="1" applyFill="1" applyBorder="1" applyAlignment="1">
      <alignment/>
    </xf>
    <xf numFmtId="0" fontId="15" fillId="0" borderId="58" xfId="0" applyFont="1" applyBorder="1" applyAlignment="1">
      <alignment horizontal="left" vertical="top" wrapText="1"/>
    </xf>
    <xf numFmtId="0" fontId="2" fillId="0" borderId="73" xfId="0" applyFont="1" applyFill="1" applyBorder="1" applyAlignment="1">
      <alignment/>
    </xf>
    <xf numFmtId="0" fontId="41" fillId="0" borderId="39" xfId="0" applyFont="1" applyFill="1" applyBorder="1" applyAlignment="1">
      <alignment horizontal="center" vertical="top" wrapText="1"/>
    </xf>
    <xf numFmtId="0" fontId="82" fillId="0" borderId="0" xfId="0" applyFont="1" applyAlignment="1">
      <alignment/>
    </xf>
    <xf numFmtId="2" fontId="12" fillId="0" borderId="37" xfId="0" applyNumberFormat="1" applyFont="1" applyFill="1" applyBorder="1" applyAlignment="1">
      <alignment horizontal="center" wrapText="1"/>
    </xf>
    <xf numFmtId="2" fontId="22" fillId="0" borderId="37" xfId="0" applyNumberFormat="1" applyFont="1" applyFill="1" applyBorder="1" applyAlignment="1">
      <alignment horizontal="center" wrapText="1"/>
    </xf>
    <xf numFmtId="2" fontId="22" fillId="0" borderId="14" xfId="0" applyNumberFormat="1" applyFont="1" applyFill="1" applyBorder="1" applyAlignment="1">
      <alignment horizontal="center" wrapText="1"/>
    </xf>
    <xf numFmtId="2" fontId="22" fillId="0" borderId="15" xfId="0" applyNumberFormat="1" applyFont="1" applyFill="1" applyBorder="1" applyAlignment="1">
      <alignment horizontal="center" wrapText="1"/>
    </xf>
    <xf numFmtId="0" fontId="134" fillId="0" borderId="25" xfId="56" applyFont="1" applyFill="1" applyBorder="1" applyAlignment="1">
      <alignment horizontal="center" wrapText="1"/>
      <protection/>
    </xf>
    <xf numFmtId="0" fontId="131" fillId="0" borderId="0" xfId="0" applyFont="1" applyAlignment="1">
      <alignment horizontal="center"/>
    </xf>
    <xf numFmtId="0" fontId="141" fillId="0" borderId="0" xfId="0" applyFont="1" applyAlignment="1">
      <alignment/>
    </xf>
    <xf numFmtId="3" fontId="140" fillId="0" borderId="16" xfId="0" applyNumberFormat="1" applyFont="1" applyFill="1" applyBorder="1" applyAlignment="1">
      <alignment horizontal="center" wrapText="1"/>
    </xf>
    <xf numFmtId="3" fontId="140" fillId="0" borderId="60" xfId="0" applyNumberFormat="1" applyFont="1" applyFill="1" applyBorder="1" applyAlignment="1">
      <alignment horizontal="center" wrapText="1"/>
    </xf>
    <xf numFmtId="3" fontId="140" fillId="0" borderId="58" xfId="0" applyNumberFormat="1" applyFont="1" applyFill="1" applyBorder="1" applyAlignment="1">
      <alignment horizontal="center" wrapText="1"/>
    </xf>
    <xf numFmtId="3" fontId="140" fillId="0" borderId="70" xfId="0" applyNumberFormat="1" applyFont="1" applyFill="1" applyBorder="1" applyAlignment="1">
      <alignment horizontal="center" wrapText="1"/>
    </xf>
    <xf numFmtId="3" fontId="140" fillId="0" borderId="14" xfId="0" applyNumberFormat="1" applyFont="1" applyFill="1" applyBorder="1" applyAlignment="1">
      <alignment horizontal="center" wrapText="1"/>
    </xf>
    <xf numFmtId="3" fontId="140" fillId="0" borderId="34" xfId="0" applyNumberFormat="1" applyFont="1" applyFill="1" applyBorder="1" applyAlignment="1">
      <alignment horizontal="center" wrapText="1"/>
    </xf>
    <xf numFmtId="1" fontId="135" fillId="0" borderId="32" xfId="0" applyNumberFormat="1" applyFont="1" applyBorder="1" applyAlignment="1">
      <alignment horizontal="center" wrapText="1"/>
    </xf>
    <xf numFmtId="3" fontId="140" fillId="0" borderId="15" xfId="0" applyNumberFormat="1" applyFont="1" applyFill="1" applyBorder="1" applyAlignment="1">
      <alignment horizontal="center" wrapText="1"/>
    </xf>
    <xf numFmtId="3" fontId="140" fillId="0" borderId="32" xfId="0" applyNumberFormat="1" applyFont="1" applyFill="1" applyBorder="1" applyAlignment="1">
      <alignment horizontal="center" wrapText="1"/>
    </xf>
    <xf numFmtId="3" fontId="140" fillId="0" borderId="15" xfId="0" applyNumberFormat="1" applyFont="1" applyFill="1" applyBorder="1" applyAlignment="1">
      <alignment horizontal="center"/>
    </xf>
    <xf numFmtId="3" fontId="140" fillId="0" borderId="15" xfId="0" applyNumberFormat="1" applyFont="1" applyBorder="1" applyAlignment="1">
      <alignment horizontal="center"/>
    </xf>
    <xf numFmtId="3" fontId="140" fillId="0" borderId="45" xfId="0" applyNumberFormat="1" applyFont="1" applyBorder="1" applyAlignment="1">
      <alignment horizontal="center"/>
    </xf>
    <xf numFmtId="3" fontId="140" fillId="0" borderId="45" xfId="0" applyNumberFormat="1" applyFont="1" applyFill="1" applyBorder="1" applyAlignment="1">
      <alignment horizontal="center" wrapText="1"/>
    </xf>
    <xf numFmtId="3" fontId="140" fillId="0" borderId="28" xfId="0" applyNumberFormat="1" applyFont="1" applyFill="1" applyBorder="1" applyAlignment="1">
      <alignment horizontal="center" wrapText="1"/>
    </xf>
    <xf numFmtId="3" fontId="140" fillId="0" borderId="16" xfId="0" applyNumberFormat="1" applyFont="1" applyBorder="1" applyAlignment="1">
      <alignment horizontal="center"/>
    </xf>
    <xf numFmtId="0" fontId="141" fillId="0" borderId="27" xfId="0" applyFont="1" applyBorder="1" applyAlignment="1">
      <alignment/>
    </xf>
    <xf numFmtId="0" fontId="135" fillId="0" borderId="27" xfId="0" applyFont="1" applyBorder="1" applyAlignment="1">
      <alignment/>
    </xf>
    <xf numFmtId="3" fontId="145" fillId="0" borderId="34" xfId="0" applyNumberFormat="1" applyFont="1" applyBorder="1" applyAlignment="1">
      <alignment horizontal="center"/>
    </xf>
    <xf numFmtId="3" fontId="145" fillId="0" borderId="34" xfId="0" applyNumberFormat="1" applyFont="1" applyFill="1" applyBorder="1" applyAlignment="1">
      <alignment horizontal="center" wrapText="1"/>
    </xf>
    <xf numFmtId="1" fontId="135" fillId="0" borderId="36" xfId="0" applyNumberFormat="1" applyFont="1" applyBorder="1" applyAlignment="1">
      <alignment horizontal="center" wrapText="1"/>
    </xf>
    <xf numFmtId="1" fontId="145" fillId="0" borderId="36" xfId="0" applyNumberFormat="1" applyFont="1" applyBorder="1" applyAlignment="1">
      <alignment horizontal="center"/>
    </xf>
    <xf numFmtId="165" fontId="145" fillId="0" borderId="36" xfId="0" applyNumberFormat="1" applyFont="1" applyBorder="1" applyAlignment="1">
      <alignment horizontal="center"/>
    </xf>
    <xf numFmtId="1" fontId="140" fillId="0" borderId="69" xfId="0" applyNumberFormat="1" applyFont="1" applyFill="1" applyBorder="1" applyAlignment="1">
      <alignment horizontal="center" wrapText="1"/>
    </xf>
    <xf numFmtId="1" fontId="140" fillId="0" borderId="34" xfId="0" applyNumberFormat="1" applyFont="1" applyBorder="1" applyAlignment="1">
      <alignment/>
    </xf>
    <xf numFmtId="0" fontId="141" fillId="0" borderId="24" xfId="0" applyFont="1" applyFill="1" applyBorder="1" applyAlignment="1">
      <alignment horizontal="left" wrapText="1"/>
    </xf>
    <xf numFmtId="0" fontId="135" fillId="0" borderId="24" xfId="0" applyFont="1" applyFill="1" applyBorder="1" applyAlignment="1">
      <alignment horizontal="left" wrapText="1"/>
    </xf>
    <xf numFmtId="2" fontId="141" fillId="0" borderId="24" xfId="0" applyNumberFormat="1" applyFont="1" applyFill="1" applyBorder="1" applyAlignment="1">
      <alignment horizontal="center" wrapText="1"/>
    </xf>
    <xf numFmtId="1" fontId="141" fillId="0" borderId="24" xfId="0" applyNumberFormat="1" applyFont="1" applyFill="1" applyBorder="1" applyAlignment="1">
      <alignment horizontal="center" vertical="center" wrapText="1"/>
    </xf>
    <xf numFmtId="0" fontId="141" fillId="0" borderId="15" xfId="0" applyFont="1" applyBorder="1" applyAlignment="1">
      <alignment horizontal="center" wrapText="1"/>
    </xf>
    <xf numFmtId="1" fontId="140" fillId="0" borderId="32" xfId="0" applyNumberFormat="1" applyFont="1" applyBorder="1" applyAlignment="1">
      <alignment/>
    </xf>
    <xf numFmtId="1" fontId="141" fillId="0" borderId="24" xfId="0" applyNumberFormat="1" applyFont="1" applyFill="1" applyBorder="1" applyAlignment="1">
      <alignment horizontal="center" wrapText="1"/>
    </xf>
    <xf numFmtId="2" fontId="141" fillId="0" borderId="25" xfId="0" applyNumberFormat="1" applyFont="1" applyFill="1" applyBorder="1" applyAlignment="1">
      <alignment horizontal="center" wrapText="1"/>
    </xf>
    <xf numFmtId="0" fontId="141" fillId="0" borderId="27" xfId="0" applyFont="1" applyBorder="1" applyAlignment="1">
      <alignment wrapText="1"/>
    </xf>
    <xf numFmtId="0" fontId="141" fillId="0" borderId="37" xfId="0" applyFont="1" applyBorder="1" applyAlignment="1">
      <alignment horizontal="center" wrapText="1"/>
    </xf>
    <xf numFmtId="0" fontId="140" fillId="0" borderId="34" xfId="0" applyFont="1" applyBorder="1" applyAlignment="1">
      <alignment horizontal="center" vertical="center"/>
    </xf>
    <xf numFmtId="1" fontId="140" fillId="0" borderId="34" xfId="0" applyNumberFormat="1" applyFont="1" applyBorder="1" applyAlignment="1">
      <alignment horizontal="center" vertical="center"/>
    </xf>
    <xf numFmtId="1" fontId="140" fillId="0" borderId="14" xfId="0" applyNumberFormat="1" applyFont="1" applyBorder="1" applyAlignment="1">
      <alignment horizontal="center" vertical="center"/>
    </xf>
    <xf numFmtId="0" fontId="140" fillId="0" borderId="60" xfId="0" applyFont="1" applyBorder="1" applyAlignment="1">
      <alignment horizontal="center" vertical="center"/>
    </xf>
    <xf numFmtId="1" fontId="140" fillId="0" borderId="60" xfId="0" applyNumberFormat="1" applyFont="1" applyBorder="1" applyAlignment="1">
      <alignment horizontal="center" vertical="center"/>
    </xf>
    <xf numFmtId="1" fontId="140" fillId="0" borderId="16" xfId="0" applyNumberFormat="1" applyFont="1" applyBorder="1" applyAlignment="1">
      <alignment horizontal="center" vertical="center"/>
    </xf>
    <xf numFmtId="0" fontId="140" fillId="0" borderId="36" xfId="0" applyFont="1" applyBorder="1" applyAlignment="1">
      <alignment horizontal="center" vertical="center"/>
    </xf>
    <xf numFmtId="1" fontId="140" fillId="0" borderId="36" xfId="0" applyNumberFormat="1" applyFont="1" applyBorder="1" applyAlignment="1">
      <alignment horizontal="center" vertical="center"/>
    </xf>
    <xf numFmtId="1" fontId="140" fillId="0" borderId="37" xfId="0" applyNumberFormat="1" applyFont="1" applyBorder="1" applyAlignment="1">
      <alignment horizontal="center" vertical="center"/>
    </xf>
    <xf numFmtId="0" fontId="14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9" fillId="0" borderId="78" xfId="0" applyFont="1" applyBorder="1" applyAlignment="1">
      <alignment horizontal="center" vertical="center" wrapText="1"/>
    </xf>
    <xf numFmtId="0" fontId="10" fillId="0" borderId="73" xfId="0" applyFont="1" applyBorder="1" applyAlignment="1">
      <alignment vertical="center" wrapText="1"/>
    </xf>
    <xf numFmtId="0" fontId="2" fillId="0" borderId="42" xfId="55" applyFont="1" applyFill="1" applyBorder="1" applyAlignment="1">
      <alignment horizontal="left" vertical="center" wrapText="1"/>
      <protection/>
    </xf>
    <xf numFmtId="0" fontId="8" fillId="0" borderId="54" xfId="55" applyFont="1" applyFill="1" applyBorder="1" applyAlignment="1">
      <alignment vertical="center" wrapText="1"/>
      <protection/>
    </xf>
    <xf numFmtId="0" fontId="2" fillId="0" borderId="47" xfId="55" applyFont="1" applyFill="1" applyBorder="1" applyAlignment="1">
      <alignment horizontal="center" vertical="center" wrapText="1"/>
      <protection/>
    </xf>
    <xf numFmtId="0" fontId="2" fillId="0" borderId="54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35" xfId="55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/>
    </xf>
    <xf numFmtId="0" fontId="2" fillId="0" borderId="41" xfId="55" applyFont="1" applyFill="1" applyBorder="1" applyAlignment="1">
      <alignment horizontal="left" vertical="center" wrapText="1"/>
      <protection/>
    </xf>
    <xf numFmtId="0" fontId="8" fillId="0" borderId="79" xfId="55" applyFont="1" applyFill="1" applyBorder="1" applyAlignment="1">
      <alignment vertical="center" wrapText="1"/>
      <protection/>
    </xf>
    <xf numFmtId="0" fontId="2" fillId="0" borderId="48" xfId="55" applyFont="1" applyFill="1" applyBorder="1" applyAlignment="1">
      <alignment horizontal="center" vertical="center" wrapText="1"/>
      <protection/>
    </xf>
    <xf numFmtId="0" fontId="2" fillId="0" borderId="79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33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left" vertical="center" wrapText="1"/>
      <protection/>
    </xf>
    <xf numFmtId="0" fontId="8" fillId="0" borderId="67" xfId="55" applyFont="1" applyFill="1" applyBorder="1" applyAlignment="1">
      <alignment vertical="center" wrapText="1"/>
      <protection/>
    </xf>
    <xf numFmtId="0" fontId="2" fillId="0" borderId="53" xfId="55" applyFont="1" applyFill="1" applyBorder="1" applyAlignment="1">
      <alignment horizontal="center" vertical="center" wrapText="1"/>
      <protection/>
    </xf>
    <xf numFmtId="0" fontId="2" fillId="0" borderId="67" xfId="55" applyFont="1" applyFill="1" applyBorder="1" applyAlignment="1">
      <alignment horizontal="center" vertical="center" wrapText="1"/>
      <protection/>
    </xf>
    <xf numFmtId="0" fontId="2" fillId="0" borderId="45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1" fontId="142" fillId="0" borderId="0" xfId="55" applyNumberFormat="1" applyFont="1" applyFill="1" applyBorder="1" applyAlignment="1">
      <alignment horizontal="center" wrapText="1"/>
      <protection/>
    </xf>
    <xf numFmtId="0" fontId="9" fillId="34" borderId="41" xfId="0" applyFont="1" applyFill="1" applyBorder="1" applyAlignment="1">
      <alignment horizontal="left" wrapText="1"/>
    </xf>
    <xf numFmtId="0" fontId="10" fillId="34" borderId="48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center" wrapText="1"/>
    </xf>
    <xf numFmtId="0" fontId="9" fillId="34" borderId="4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138" fillId="0" borderId="0" xfId="0" applyFont="1" applyAlignment="1">
      <alignment/>
    </xf>
    <xf numFmtId="1" fontId="140" fillId="0" borderId="62" xfId="0" applyNumberFormat="1" applyFont="1" applyFill="1" applyBorder="1" applyAlignment="1">
      <alignment horizontal="center" wrapText="1"/>
    </xf>
    <xf numFmtId="1" fontId="147" fillId="0" borderId="14" xfId="0" applyNumberFormat="1" applyFont="1" applyBorder="1" applyAlignment="1">
      <alignment horizontal="center" vertical="center"/>
    </xf>
    <xf numFmtId="1" fontId="147" fillId="0" borderId="10" xfId="0" applyNumberFormat="1" applyFont="1" applyBorder="1" applyAlignment="1">
      <alignment horizontal="center"/>
    </xf>
    <xf numFmtId="1" fontId="147" fillId="0" borderId="10" xfId="0" applyNumberFormat="1" applyFont="1" applyBorder="1" applyAlignment="1">
      <alignment horizontal="center" vertical="center"/>
    </xf>
    <xf numFmtId="1" fontId="147" fillId="0" borderId="16" xfId="0" applyNumberFormat="1" applyFont="1" applyBorder="1" applyAlignment="1">
      <alignment horizontal="center" vertical="center"/>
    </xf>
    <xf numFmtId="1" fontId="147" fillId="0" borderId="50" xfId="0" applyNumberFormat="1" applyFont="1" applyBorder="1" applyAlignment="1">
      <alignment horizontal="center"/>
    </xf>
    <xf numFmtId="1" fontId="147" fillId="0" borderId="50" xfId="0" applyNumberFormat="1" applyFont="1" applyBorder="1" applyAlignment="1">
      <alignment horizontal="center" vertical="center"/>
    </xf>
    <xf numFmtId="1" fontId="140" fillId="0" borderId="16" xfId="0" applyNumberFormat="1" applyFont="1" applyFill="1" applyBorder="1" applyAlignment="1">
      <alignment horizontal="center" vertical="center" wrapText="1"/>
    </xf>
    <xf numFmtId="1" fontId="140" fillId="0" borderId="50" xfId="0" applyNumberFormat="1" applyFont="1" applyFill="1" applyBorder="1" applyAlignment="1">
      <alignment horizontal="center" wrapText="1"/>
    </xf>
    <xf numFmtId="1" fontId="140" fillId="0" borderId="50" xfId="0" applyNumberFormat="1" applyFont="1" applyFill="1" applyBorder="1" applyAlignment="1">
      <alignment horizontal="center" vertical="center" wrapText="1"/>
    </xf>
    <xf numFmtId="1" fontId="140" fillId="0" borderId="37" xfId="0" applyNumberFormat="1" applyFont="1" applyFill="1" applyBorder="1" applyAlignment="1">
      <alignment horizontal="center" vertical="center" wrapText="1"/>
    </xf>
    <xf numFmtId="1" fontId="140" fillId="0" borderId="52" xfId="0" applyNumberFormat="1" applyFont="1" applyFill="1" applyBorder="1" applyAlignment="1">
      <alignment horizontal="center" wrapText="1"/>
    </xf>
    <xf numFmtId="1" fontId="140" fillId="0" borderId="5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9" fontId="22" fillId="0" borderId="0" xfId="60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5" fillId="0" borderId="0" xfId="0" applyFont="1" applyFill="1" applyBorder="1" applyAlignment="1">
      <alignment/>
    </xf>
    <xf numFmtId="0" fontId="56" fillId="0" borderId="0" xfId="0" applyFont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41" fillId="0" borderId="0" xfId="0" applyFont="1" applyBorder="1" applyAlignment="1">
      <alignment horizontal="center" vertical="top" wrapText="1"/>
    </xf>
    <xf numFmtId="0" fontId="16" fillId="0" borderId="41" xfId="0" applyFont="1" applyFill="1" applyBorder="1" applyAlignment="1">
      <alignment vertical="top" wrapText="1"/>
    </xf>
    <xf numFmtId="0" fontId="48" fillId="0" borderId="41" xfId="0" applyFont="1" applyFill="1" applyBorder="1" applyAlignment="1">
      <alignment/>
    </xf>
    <xf numFmtId="0" fontId="48" fillId="0" borderId="4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148" fillId="0" borderId="0" xfId="0" applyFont="1" applyAlignment="1">
      <alignment/>
    </xf>
    <xf numFmtId="0" fontId="22" fillId="0" borderId="25" xfId="0" applyFont="1" applyBorder="1" applyAlignment="1">
      <alignment horizontal="center" vertical="center" wrapText="1"/>
    </xf>
    <xf numFmtId="0" fontId="9" fillId="0" borderId="41" xfId="0" applyFont="1" applyBorder="1" applyAlignment="1">
      <alignment vertical="center"/>
    </xf>
    <xf numFmtId="0" fontId="10" fillId="0" borderId="79" xfId="0" applyFont="1" applyBorder="1" applyAlignment="1">
      <alignment vertical="center"/>
    </xf>
    <xf numFmtId="0" fontId="9" fillId="0" borderId="48" xfId="0" applyFont="1" applyBorder="1" applyAlignment="1">
      <alignment horizontal="center" vertical="center"/>
    </xf>
    <xf numFmtId="1" fontId="9" fillId="0" borderId="55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12" fillId="0" borderId="34" xfId="0" applyFont="1" applyFill="1" applyBorder="1" applyAlignment="1">
      <alignment horizontal="left" vertical="center" wrapText="1"/>
    </xf>
    <xf numFmtId="1" fontId="12" fillId="0" borderId="34" xfId="0" applyNumberFormat="1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2" fontId="22" fillId="0" borderId="68" xfId="0" applyNumberFormat="1" applyFont="1" applyFill="1" applyBorder="1" applyAlignment="1">
      <alignment horizontal="center" wrapText="1"/>
    </xf>
    <xf numFmtId="1" fontId="12" fillId="0" borderId="28" xfId="0" applyNumberFormat="1" applyFont="1" applyFill="1" applyBorder="1" applyAlignment="1">
      <alignment horizontal="center" vertical="center" wrapText="1"/>
    </xf>
    <xf numFmtId="1" fontId="21" fillId="0" borderId="45" xfId="0" applyNumberFormat="1" applyFont="1" applyFill="1" applyBorder="1" applyAlignment="1">
      <alignment horizontal="center" vertical="center" wrapText="1"/>
    </xf>
    <xf numFmtId="0" fontId="141" fillId="0" borderId="27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" fontId="12" fillId="0" borderId="60" xfId="0" applyNumberFormat="1" applyFont="1" applyBorder="1" applyAlignment="1">
      <alignment horizontal="center" wrapText="1"/>
    </xf>
    <xf numFmtId="1" fontId="22" fillId="0" borderId="16" xfId="0" applyNumberFormat="1" applyFont="1" applyFill="1" applyBorder="1" applyAlignment="1">
      <alignment horizontal="center" wrapText="1"/>
    </xf>
    <xf numFmtId="1" fontId="149" fillId="0" borderId="21" xfId="0" applyNumberFormat="1" applyFont="1" applyBorder="1" applyAlignment="1">
      <alignment horizontal="center" wrapText="1"/>
    </xf>
    <xf numFmtId="0" fontId="134" fillId="0" borderId="20" xfId="0" applyFont="1" applyBorder="1" applyAlignment="1">
      <alignment horizontal="center" wrapText="1"/>
    </xf>
    <xf numFmtId="0" fontId="22" fillId="0" borderId="33" xfId="0" applyFont="1" applyFill="1" applyBorder="1" applyAlignment="1">
      <alignment horizontal="center" wrapText="1"/>
    </xf>
    <xf numFmtId="0" fontId="22" fillId="0" borderId="71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2" fillId="0" borderId="71" xfId="0" applyFont="1" applyFill="1" applyBorder="1" applyAlignment="1">
      <alignment horizontal="center" wrapText="1"/>
    </xf>
    <xf numFmtId="0" fontId="22" fillId="0" borderId="47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12" fillId="37" borderId="45" xfId="0" applyFont="1" applyFill="1" applyBorder="1" applyAlignment="1">
      <alignment horizontal="left" wrapText="1"/>
    </xf>
    <xf numFmtId="0" fontId="12" fillId="37" borderId="20" xfId="0" applyFont="1" applyFill="1" applyBorder="1" applyAlignment="1">
      <alignment horizontal="left" wrapText="1"/>
    </xf>
    <xf numFmtId="0" fontId="22" fillId="0" borderId="39" xfId="0" applyFont="1" applyFill="1" applyBorder="1" applyAlignment="1">
      <alignment horizontal="center" wrapText="1"/>
    </xf>
    <xf numFmtId="0" fontId="22" fillId="0" borderId="63" xfId="0" applyFont="1" applyFill="1" applyBorder="1" applyAlignment="1">
      <alignment horizontal="center" wrapText="1"/>
    </xf>
    <xf numFmtId="1" fontId="22" fillId="0" borderId="23" xfId="0" applyNumberFormat="1" applyFont="1" applyFill="1" applyBorder="1" applyAlignment="1">
      <alignment horizontal="left" wrapText="1"/>
    </xf>
    <xf numFmtId="1" fontId="12" fillId="0" borderId="23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left" wrapText="1"/>
    </xf>
    <xf numFmtId="1" fontId="12" fillId="0" borderId="24" xfId="0" applyNumberFormat="1" applyFont="1" applyFill="1" applyBorder="1" applyAlignment="1">
      <alignment horizontal="left" wrapText="1"/>
    </xf>
    <xf numFmtId="1" fontId="22" fillId="0" borderId="29" xfId="0" applyNumberFormat="1" applyFont="1" applyFill="1" applyBorder="1" applyAlignment="1">
      <alignment horizontal="left" wrapText="1"/>
    </xf>
    <xf numFmtId="1" fontId="12" fillId="0" borderId="29" xfId="0" applyNumberFormat="1" applyFont="1" applyFill="1" applyBorder="1" applyAlignment="1">
      <alignment horizontal="left" wrapText="1"/>
    </xf>
    <xf numFmtId="1" fontId="22" fillId="0" borderId="25" xfId="0" applyNumberFormat="1" applyFont="1" applyFill="1" applyBorder="1" applyAlignment="1">
      <alignment horizontal="left" wrapText="1"/>
    </xf>
    <xf numFmtId="1" fontId="12" fillId="0" borderId="25" xfId="0" applyNumberFormat="1" applyFont="1" applyFill="1" applyBorder="1" applyAlignment="1">
      <alignment horizontal="left" wrapText="1"/>
    </xf>
    <xf numFmtId="0" fontId="20" fillId="0" borderId="23" xfId="0" applyFont="1" applyBorder="1" applyAlignment="1">
      <alignment/>
    </xf>
    <xf numFmtId="0" fontId="21" fillId="0" borderId="23" xfId="0" applyFont="1" applyBorder="1" applyAlignment="1">
      <alignment/>
    </xf>
    <xf numFmtId="1" fontId="21" fillId="0" borderId="34" xfId="0" applyNumberFormat="1" applyFont="1" applyBorder="1" applyAlignment="1">
      <alignment horizontal="center" wrapText="1"/>
    </xf>
    <xf numFmtId="1" fontId="20" fillId="0" borderId="14" xfId="0" applyNumberFormat="1" applyFont="1" applyFill="1" applyBorder="1" applyAlignment="1">
      <alignment horizontal="center" wrapText="1"/>
    </xf>
    <xf numFmtId="1" fontId="21" fillId="0" borderId="14" xfId="0" applyNumberFormat="1" applyFont="1" applyFill="1" applyBorder="1" applyAlignment="1">
      <alignment horizontal="center" wrapText="1"/>
    </xf>
    <xf numFmtId="0" fontId="20" fillId="0" borderId="62" xfId="0" applyFont="1" applyBorder="1" applyAlignment="1">
      <alignment/>
    </xf>
    <xf numFmtId="0" fontId="21" fillId="0" borderId="71" xfId="0" applyFont="1" applyBorder="1" applyAlignment="1">
      <alignment/>
    </xf>
    <xf numFmtId="0" fontId="20" fillId="0" borderId="84" xfId="0" applyFont="1" applyBorder="1" applyAlignment="1">
      <alignment horizontal="center"/>
    </xf>
    <xf numFmtId="1" fontId="21" fillId="0" borderId="60" xfId="0" applyNumberFormat="1" applyFont="1" applyBorder="1" applyAlignment="1">
      <alignment horizontal="center" wrapText="1"/>
    </xf>
    <xf numFmtId="0" fontId="20" fillId="0" borderId="35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1" fillId="0" borderId="25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1" fillId="0" borderId="24" xfId="0" applyFont="1" applyBorder="1" applyAlignment="1">
      <alignment/>
    </xf>
    <xf numFmtId="0" fontId="20" fillId="0" borderId="33" xfId="0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 wrapText="1"/>
    </xf>
    <xf numFmtId="0" fontId="20" fillId="0" borderId="24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3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0" fillId="0" borderId="27" xfId="0" applyFont="1" applyFill="1" applyBorder="1" applyAlignment="1">
      <alignment horizontal="center"/>
    </xf>
    <xf numFmtId="2" fontId="20" fillId="0" borderId="23" xfId="0" applyNumberFormat="1" applyFont="1" applyFill="1" applyBorder="1" applyAlignment="1">
      <alignment horizontal="center" wrapText="1"/>
    </xf>
    <xf numFmtId="1" fontId="20" fillId="0" borderId="26" xfId="0" applyNumberFormat="1" applyFont="1" applyFill="1" applyBorder="1" applyAlignment="1">
      <alignment horizontal="center" vertical="center" wrapText="1"/>
    </xf>
    <xf numFmtId="2" fontId="20" fillId="0" borderId="26" xfId="0" applyNumberFormat="1" applyFont="1" applyFill="1" applyBorder="1" applyAlignment="1">
      <alignment horizontal="center" wrapText="1"/>
    </xf>
    <xf numFmtId="1" fontId="20" fillId="0" borderId="26" xfId="0" applyNumberFormat="1" applyFont="1" applyFill="1" applyBorder="1" applyAlignment="1">
      <alignment horizontal="center" wrapText="1"/>
    </xf>
    <xf numFmtId="1" fontId="21" fillId="0" borderId="62" xfId="0" applyNumberFormat="1" applyFont="1" applyBorder="1" applyAlignment="1">
      <alignment horizontal="center" wrapText="1"/>
    </xf>
    <xf numFmtId="2" fontId="20" fillId="0" borderId="24" xfId="0" applyNumberFormat="1" applyFont="1" applyFill="1" applyBorder="1" applyAlignment="1">
      <alignment horizontal="center" wrapText="1"/>
    </xf>
    <xf numFmtId="1" fontId="20" fillId="0" borderId="24" xfId="0" applyNumberFormat="1" applyFont="1" applyFill="1" applyBorder="1" applyAlignment="1">
      <alignment horizontal="center" vertical="center" wrapText="1"/>
    </xf>
    <xf numFmtId="2" fontId="20" fillId="0" borderId="72" xfId="0" applyNumberFormat="1" applyFont="1" applyFill="1" applyBorder="1" applyAlignment="1">
      <alignment horizontal="center" wrapText="1"/>
    </xf>
    <xf numFmtId="1" fontId="20" fillId="0" borderId="72" xfId="0" applyNumberFormat="1" applyFont="1" applyFill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1" fontId="20" fillId="0" borderId="72" xfId="0" applyNumberFormat="1" applyFont="1" applyFill="1" applyBorder="1" applyAlignment="1">
      <alignment horizontal="center" vertical="center" wrapText="1"/>
    </xf>
    <xf numFmtId="1" fontId="20" fillId="0" borderId="24" xfId="0" applyNumberFormat="1" applyFont="1" applyFill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21" fillId="0" borderId="23" xfId="0" applyFont="1" applyFill="1" applyBorder="1" applyAlignment="1">
      <alignment vertical="center" wrapText="1"/>
    </xf>
    <xf numFmtId="0" fontId="80" fillId="0" borderId="14" xfId="0" applyFont="1" applyBorder="1" applyAlignment="1">
      <alignment/>
    </xf>
    <xf numFmtId="0" fontId="20" fillId="0" borderId="14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20" fillId="0" borderId="32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0" fontId="80" fillId="0" borderId="15" xfId="0" applyFont="1" applyBorder="1" applyAlignment="1">
      <alignment/>
    </xf>
    <xf numFmtId="0" fontId="20" fillId="0" borderId="2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vertical="center" wrapText="1"/>
    </xf>
    <xf numFmtId="0" fontId="80" fillId="0" borderId="45" xfId="0" applyFont="1" applyBorder="1" applyAlignment="1">
      <alignment/>
    </xf>
    <xf numFmtId="0" fontId="20" fillId="0" borderId="45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 wrapText="1"/>
    </xf>
    <xf numFmtId="0" fontId="9" fillId="0" borderId="43" xfId="0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10" fillId="0" borderId="79" xfId="0" applyFont="1" applyFill="1" applyBorder="1" applyAlignment="1">
      <alignment vertical="center"/>
    </xf>
    <xf numFmtId="0" fontId="9" fillId="34" borderId="44" xfId="0" applyFont="1" applyFill="1" applyBorder="1" applyAlignment="1">
      <alignment horizontal="left" wrapText="1"/>
    </xf>
    <xf numFmtId="0" fontId="10" fillId="34" borderId="39" xfId="0" applyFont="1" applyFill="1" applyBorder="1" applyAlignment="1">
      <alignment horizontal="left" wrapText="1"/>
    </xf>
    <xf numFmtId="0" fontId="9" fillId="0" borderId="39" xfId="0" applyFont="1" applyBorder="1" applyAlignment="1">
      <alignment horizontal="center" wrapText="1"/>
    </xf>
    <xf numFmtId="0" fontId="9" fillId="34" borderId="52" xfId="0" applyFont="1" applyFill="1" applyBorder="1" applyAlignment="1">
      <alignment horizontal="center" wrapText="1"/>
    </xf>
    <xf numFmtId="0" fontId="9" fillId="34" borderId="39" xfId="0" applyFont="1" applyFill="1" applyBorder="1" applyAlignment="1">
      <alignment horizontal="center" wrapText="1"/>
    </xf>
    <xf numFmtId="0" fontId="9" fillId="0" borderId="23" xfId="0" applyFont="1" applyBorder="1" applyAlignment="1">
      <alignment/>
    </xf>
    <xf numFmtId="0" fontId="10" fillId="0" borderId="23" xfId="0" applyFont="1" applyBorder="1" applyAlignment="1">
      <alignment/>
    </xf>
    <xf numFmtId="0" fontId="9" fillId="0" borderId="23" xfId="0" applyFont="1" applyFill="1" applyBorder="1" applyAlignment="1">
      <alignment horizontal="center" wrapText="1"/>
    </xf>
    <xf numFmtId="0" fontId="9" fillId="0" borderId="62" xfId="0" applyFont="1" applyBorder="1" applyAlignment="1">
      <alignment/>
    </xf>
    <xf numFmtId="0" fontId="10" fillId="0" borderId="71" xfId="0" applyFont="1" applyBorder="1" applyAlignment="1">
      <alignment/>
    </xf>
    <xf numFmtId="0" fontId="9" fillId="0" borderId="84" xfId="0" applyFont="1" applyBorder="1" applyAlignment="1">
      <alignment horizontal="center"/>
    </xf>
    <xf numFmtId="0" fontId="9" fillId="0" borderId="27" xfId="0" applyFont="1" applyFill="1" applyBorder="1" applyAlignment="1">
      <alignment horizontal="center" wrapText="1"/>
    </xf>
    <xf numFmtId="0" fontId="9" fillId="0" borderId="35" xfId="0" applyFont="1" applyBorder="1" applyAlignment="1">
      <alignment horizontal="center"/>
    </xf>
    <xf numFmtId="0" fontId="9" fillId="0" borderId="25" xfId="0" applyFont="1" applyFill="1" applyBorder="1" applyAlignment="1">
      <alignment horizontal="center" wrapText="1"/>
    </xf>
    <xf numFmtId="0" fontId="10" fillId="0" borderId="25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23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1" fontId="23" fillId="0" borderId="3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65" fontId="11" fillId="0" borderId="14" xfId="0" applyNumberFormat="1" applyFont="1" applyFill="1" applyBorder="1" applyAlignment="1">
      <alignment horizontal="center"/>
    </xf>
    <xf numFmtId="0" fontId="10" fillId="0" borderId="37" xfId="0" applyFont="1" applyBorder="1" applyAlignment="1">
      <alignment/>
    </xf>
    <xf numFmtId="0" fontId="20" fillId="0" borderId="37" xfId="0" applyFont="1" applyBorder="1" applyAlignment="1">
      <alignment horizontal="center"/>
    </xf>
    <xf numFmtId="0" fontId="20" fillId="0" borderId="37" xfId="0" applyFont="1" applyBorder="1" applyAlignment="1">
      <alignment/>
    </xf>
    <xf numFmtId="1" fontId="21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/>
    </xf>
    <xf numFmtId="0" fontId="9" fillId="0" borderId="24" xfId="0" applyNumberFormat="1" applyFont="1" applyFill="1" applyBorder="1" applyAlignment="1">
      <alignment horizontal="center" wrapText="1"/>
    </xf>
    <xf numFmtId="0" fontId="9" fillId="0" borderId="27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6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1" fontId="14" fillId="0" borderId="48" xfId="0" applyNumberFormat="1" applyFont="1" applyFill="1" applyBorder="1" applyAlignment="1">
      <alignment horizontal="center" vertical="center" wrapText="1"/>
    </xf>
    <xf numFmtId="165" fontId="17" fillId="0" borderId="48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2" fillId="0" borderId="42" xfId="56" applyFont="1" applyFill="1" applyBorder="1" applyAlignment="1">
      <alignment horizontal="left" vertical="center" wrapText="1"/>
      <protection/>
    </xf>
    <xf numFmtId="0" fontId="48" fillId="0" borderId="47" xfId="56" applyFont="1" applyFill="1" applyBorder="1" applyAlignment="1">
      <alignment horizontal="center" vertical="center" wrapText="1"/>
      <protection/>
    </xf>
    <xf numFmtId="0" fontId="2" fillId="0" borderId="41" xfId="56" applyFont="1" applyFill="1" applyBorder="1" applyAlignment="1">
      <alignment horizontal="left" vertical="center" wrapText="1"/>
      <protection/>
    </xf>
    <xf numFmtId="0" fontId="48" fillId="0" borderId="48" xfId="56" applyFont="1" applyFill="1" applyBorder="1" applyAlignment="1">
      <alignment horizontal="center" vertical="center" wrapText="1"/>
      <protection/>
    </xf>
    <xf numFmtId="0" fontId="2" fillId="0" borderId="40" xfId="56" applyFont="1" applyFill="1" applyBorder="1" applyAlignment="1">
      <alignment horizontal="left" vertical="center" wrapText="1"/>
      <protection/>
    </xf>
    <xf numFmtId="0" fontId="48" fillId="0" borderId="53" xfId="56" applyFont="1" applyFill="1" applyBorder="1" applyAlignment="1">
      <alignment horizontal="center" vertical="center" wrapText="1"/>
      <protection/>
    </xf>
    <xf numFmtId="0" fontId="46" fillId="0" borderId="73" xfId="0" applyFont="1" applyBorder="1" applyAlignment="1">
      <alignment horizontal="center" vertical="top" wrapText="1"/>
    </xf>
    <xf numFmtId="0" fontId="82" fillId="0" borderId="0" xfId="0" applyFont="1" applyAlignment="1">
      <alignment wrapText="1"/>
    </xf>
    <xf numFmtId="169" fontId="51" fillId="0" borderId="28" xfId="0" applyNumberFormat="1" applyFont="1" applyBorder="1" applyAlignment="1">
      <alignment horizontal="center" vertical="center" wrapText="1"/>
    </xf>
    <xf numFmtId="169" fontId="51" fillId="0" borderId="45" xfId="0" applyNumberFormat="1" applyFont="1" applyBorder="1" applyAlignment="1">
      <alignment/>
    </xf>
    <xf numFmtId="169" fontId="51" fillId="0" borderId="45" xfId="0" applyNumberFormat="1" applyFont="1" applyBorder="1" applyAlignment="1">
      <alignment horizontal="center" vertical="center" wrapText="1"/>
    </xf>
    <xf numFmtId="0" fontId="22" fillId="0" borderId="23" xfId="55" applyFont="1" applyFill="1" applyBorder="1" applyAlignment="1">
      <alignment vertical="center"/>
      <protection/>
    </xf>
    <xf numFmtId="0" fontId="12" fillId="0" borderId="23" xfId="55" applyFont="1" applyFill="1" applyBorder="1" applyAlignment="1">
      <alignment vertical="center"/>
      <protection/>
    </xf>
    <xf numFmtId="0" fontId="22" fillId="0" borderId="34" xfId="55" applyFont="1" applyFill="1" applyBorder="1" applyAlignment="1">
      <alignment horizontal="center" vertical="center" wrapText="1"/>
      <protection/>
    </xf>
    <xf numFmtId="0" fontId="22" fillId="36" borderId="34" xfId="0" applyFont="1" applyFill="1" applyBorder="1" applyAlignment="1">
      <alignment horizontal="center"/>
    </xf>
    <xf numFmtId="169" fontId="22" fillId="0" borderId="14" xfId="0" applyNumberFormat="1" applyFont="1" applyBorder="1" applyAlignment="1">
      <alignment horizontal="center" wrapText="1"/>
    </xf>
    <xf numFmtId="0" fontId="22" fillId="0" borderId="24" xfId="55" applyFont="1" applyFill="1" applyBorder="1" applyAlignment="1">
      <alignment vertical="center"/>
      <protection/>
    </xf>
    <xf numFmtId="0" fontId="12" fillId="0" borderId="24" xfId="55" applyFont="1" applyFill="1" applyBorder="1" applyAlignment="1">
      <alignment vertical="center"/>
      <protection/>
    </xf>
    <xf numFmtId="0" fontId="22" fillId="0" borderId="24" xfId="55" applyFont="1" applyFill="1" applyBorder="1" applyAlignment="1">
      <alignment horizontal="center" vertical="center"/>
      <protection/>
    </xf>
    <xf numFmtId="0" fontId="22" fillId="0" borderId="32" xfId="55" applyFont="1" applyFill="1" applyBorder="1" applyAlignment="1">
      <alignment horizontal="center" vertical="center"/>
      <protection/>
    </xf>
    <xf numFmtId="0" fontId="22" fillId="36" borderId="60" xfId="0" applyFont="1" applyFill="1" applyBorder="1" applyAlignment="1">
      <alignment horizontal="center"/>
    </xf>
    <xf numFmtId="169" fontId="22" fillId="0" borderId="16" xfId="0" applyNumberFormat="1" applyFont="1" applyBorder="1" applyAlignment="1">
      <alignment horizontal="center" wrapText="1"/>
    </xf>
    <xf numFmtId="0" fontId="22" fillId="0" borderId="29" xfId="55" applyFont="1" applyFill="1" applyBorder="1" applyAlignment="1">
      <alignment vertical="center"/>
      <protection/>
    </xf>
    <xf numFmtId="0" fontId="12" fillId="0" borderId="29" xfId="55" applyFont="1" applyFill="1" applyBorder="1" applyAlignment="1">
      <alignment vertical="center"/>
      <protection/>
    </xf>
    <xf numFmtId="0" fontId="22" fillId="0" borderId="28" xfId="55" applyFont="1" applyFill="1" applyBorder="1" applyAlignment="1">
      <alignment horizontal="center" vertical="center"/>
      <protection/>
    </xf>
    <xf numFmtId="0" fontId="22" fillId="36" borderId="36" xfId="0" applyFont="1" applyFill="1" applyBorder="1" applyAlignment="1">
      <alignment horizontal="center"/>
    </xf>
    <xf numFmtId="169" fontId="22" fillId="0" borderId="37" xfId="0" applyNumberFormat="1" applyFont="1" applyBorder="1" applyAlignment="1">
      <alignment horizontal="center" wrapText="1"/>
    </xf>
    <xf numFmtId="0" fontId="22" fillId="0" borderId="34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169" fontId="22" fillId="0" borderId="15" xfId="0" applyNumberFormat="1" applyFont="1" applyBorder="1" applyAlignment="1">
      <alignment horizontal="center" wrapText="1"/>
    </xf>
    <xf numFmtId="0" fontId="22" fillId="0" borderId="29" xfId="55" applyFont="1" applyFill="1" applyBorder="1" applyAlignment="1">
      <alignment horizontal="center" vertical="center"/>
      <protection/>
    </xf>
    <xf numFmtId="0" fontId="22" fillId="0" borderId="28" xfId="0" applyFont="1" applyBorder="1" applyAlignment="1">
      <alignment horizontal="center"/>
    </xf>
    <xf numFmtId="0" fontId="82" fillId="0" borderId="0" xfId="55" applyFont="1" applyFill="1" applyBorder="1" applyAlignment="1">
      <alignment vertical="center"/>
      <protection/>
    </xf>
    <xf numFmtId="0" fontId="82" fillId="0" borderId="0" xfId="55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/>
    </xf>
    <xf numFmtId="169" fontId="48" fillId="0" borderId="0" xfId="0" applyNumberFormat="1" applyFont="1" applyBorder="1" applyAlignment="1">
      <alignment horizontal="center" wrapText="1"/>
    </xf>
    <xf numFmtId="1" fontId="51" fillId="0" borderId="0" xfId="63" applyNumberFormat="1" applyFont="1" applyFill="1" applyBorder="1" applyAlignment="1">
      <alignment horizontal="center" vertical="center"/>
    </xf>
    <xf numFmtId="169" fontId="51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2" fontId="51" fillId="0" borderId="0" xfId="55" applyNumberFormat="1" applyFont="1" applyFill="1" applyBorder="1" applyAlignment="1">
      <alignment horizontal="center" wrapText="1"/>
      <protection/>
    </xf>
    <xf numFmtId="9" fontId="82" fillId="0" borderId="0" xfId="60" applyFont="1" applyBorder="1" applyAlignment="1">
      <alignment horizontal="center"/>
    </xf>
    <xf numFmtId="0" fontId="102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134" fillId="0" borderId="60" xfId="56" applyFont="1" applyFill="1" applyBorder="1" applyAlignment="1">
      <alignment horizontal="left" wrapText="1"/>
      <protection/>
    </xf>
    <xf numFmtId="0" fontId="149" fillId="0" borderId="25" xfId="56" applyFont="1" applyFill="1" applyBorder="1" applyAlignment="1">
      <alignment horizontal="left" wrapText="1"/>
      <protection/>
    </xf>
    <xf numFmtId="1" fontId="134" fillId="0" borderId="60" xfId="56" applyNumberFormat="1" applyFont="1" applyFill="1" applyBorder="1" applyAlignment="1">
      <alignment horizontal="center" wrapText="1"/>
      <protection/>
    </xf>
    <xf numFmtId="1" fontId="134" fillId="0" borderId="25" xfId="56" applyNumberFormat="1" applyFont="1" applyFill="1" applyBorder="1" applyAlignment="1">
      <alignment horizontal="center" wrapText="1"/>
      <protection/>
    </xf>
    <xf numFmtId="2" fontId="134" fillId="0" borderId="31" xfId="56" applyNumberFormat="1" applyFont="1" applyFill="1" applyBorder="1" applyAlignment="1">
      <alignment horizontal="center" wrapText="1"/>
      <protection/>
    </xf>
    <xf numFmtId="0" fontId="150" fillId="0" borderId="0" xfId="0" applyFont="1" applyFill="1" applyAlignment="1">
      <alignment/>
    </xf>
    <xf numFmtId="43" fontId="150" fillId="0" borderId="0" xfId="63" applyFont="1" applyFill="1" applyAlignment="1">
      <alignment/>
    </xf>
    <xf numFmtId="172" fontId="150" fillId="0" borderId="0" xfId="60" applyNumberFormat="1" applyFont="1" applyFill="1" applyAlignment="1">
      <alignment/>
    </xf>
    <xf numFmtId="1" fontId="59" fillId="0" borderId="32" xfId="0" applyNumberFormat="1" applyFont="1" applyFill="1" applyBorder="1" applyAlignment="1">
      <alignment horizontal="center" wrapText="1"/>
    </xf>
    <xf numFmtId="1" fontId="59" fillId="0" borderId="32" xfId="0" applyNumberFormat="1" applyFont="1" applyBorder="1" applyAlignment="1">
      <alignment/>
    </xf>
    <xf numFmtId="1" fontId="59" fillId="0" borderId="60" xfId="0" applyNumberFormat="1" applyFont="1" applyFill="1" applyBorder="1" applyAlignment="1">
      <alignment horizontal="center" wrapText="1"/>
    </xf>
    <xf numFmtId="1" fontId="59" fillId="0" borderId="60" xfId="0" applyNumberFormat="1" applyFont="1" applyFill="1" applyBorder="1" applyAlignment="1">
      <alignment/>
    </xf>
    <xf numFmtId="1" fontId="59" fillId="0" borderId="60" xfId="0" applyNumberFormat="1" applyFont="1" applyBorder="1" applyAlignment="1">
      <alignment/>
    </xf>
    <xf numFmtId="1" fontId="59" fillId="0" borderId="36" xfId="0" applyNumberFormat="1" applyFont="1" applyFill="1" applyBorder="1" applyAlignment="1">
      <alignment horizontal="center" wrapText="1"/>
    </xf>
    <xf numFmtId="1" fontId="59" fillId="0" borderId="36" xfId="0" applyNumberFormat="1" applyFont="1" applyBorder="1" applyAlignment="1">
      <alignment/>
    </xf>
    <xf numFmtId="0" fontId="151" fillId="0" borderId="0" xfId="0" applyFont="1" applyAlignment="1">
      <alignment/>
    </xf>
    <xf numFmtId="1" fontId="14" fillId="0" borderId="59" xfId="0" applyNumberFormat="1" applyFont="1" applyFill="1" applyBorder="1" applyAlignment="1">
      <alignment horizontal="center" vertical="center" wrapText="1"/>
    </xf>
    <xf numFmtId="1" fontId="43" fillId="0" borderId="66" xfId="0" applyNumberFormat="1" applyFont="1" applyFill="1" applyBorder="1" applyAlignment="1">
      <alignment horizontal="center" vertical="center" wrapText="1"/>
    </xf>
    <xf numFmtId="3" fontId="43" fillId="36" borderId="0" xfId="0" applyNumberFormat="1" applyFont="1" applyFill="1" applyBorder="1" applyAlignment="1">
      <alignment horizontal="center" vertical="center" wrapText="1"/>
    </xf>
    <xf numFmtId="0" fontId="152" fillId="0" borderId="0" xfId="0" applyFont="1" applyAlignment="1">
      <alignment/>
    </xf>
    <xf numFmtId="0" fontId="60" fillId="0" borderId="0" xfId="0" applyFont="1" applyAlignment="1">
      <alignment/>
    </xf>
    <xf numFmtId="0" fontId="10" fillId="0" borderId="14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center" vertical="center" wrapText="1"/>
    </xf>
    <xf numFmtId="165" fontId="10" fillId="0" borderId="14" xfId="0" applyNumberFormat="1" applyFont="1" applyFill="1" applyBorder="1" applyAlignment="1">
      <alignment vertical="center" wrapText="1"/>
    </xf>
    <xf numFmtId="165" fontId="10" fillId="0" borderId="35" xfId="0" applyNumberFormat="1" applyFont="1" applyFill="1" applyBorder="1" applyAlignment="1">
      <alignment vertical="center" wrapText="1"/>
    </xf>
    <xf numFmtId="0" fontId="46" fillId="0" borderId="39" xfId="0" applyFont="1" applyFill="1" applyBorder="1" applyAlignment="1">
      <alignment horizontal="center" vertical="top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" fontId="14" fillId="0" borderId="49" xfId="0" applyNumberFormat="1" applyFont="1" applyFill="1" applyBorder="1" applyAlignment="1">
      <alignment horizontal="center" vertical="center" wrapText="1"/>
    </xf>
    <xf numFmtId="1" fontId="14" fillId="0" borderId="82" xfId="0" applyNumberFormat="1" applyFont="1" applyFill="1" applyBorder="1" applyAlignment="1">
      <alignment horizontal="center" vertical="center" wrapText="1"/>
    </xf>
    <xf numFmtId="3" fontId="14" fillId="0" borderId="53" xfId="0" applyNumberFormat="1" applyFont="1" applyFill="1" applyBorder="1" applyAlignment="1">
      <alignment horizontal="center" vertical="center" wrapText="1"/>
    </xf>
    <xf numFmtId="3" fontId="14" fillId="0" borderId="68" xfId="0" applyNumberFormat="1" applyFont="1" applyFill="1" applyBorder="1" applyAlignment="1">
      <alignment horizontal="center" vertical="center" wrapText="1"/>
    </xf>
    <xf numFmtId="1" fontId="43" fillId="0" borderId="54" xfId="0" applyNumberFormat="1" applyFont="1" applyFill="1" applyBorder="1" applyAlignment="1">
      <alignment horizontal="center" vertical="center" wrapText="1"/>
    </xf>
    <xf numFmtId="1" fontId="43" fillId="0" borderId="79" xfId="0" applyNumberFormat="1" applyFont="1" applyFill="1" applyBorder="1" applyAlignment="1">
      <alignment horizontal="center" vertical="center" wrapText="1"/>
    </xf>
    <xf numFmtId="1" fontId="43" fillId="0" borderId="67" xfId="0" applyNumberFormat="1" applyFont="1" applyFill="1" applyBorder="1" applyAlignment="1">
      <alignment horizontal="center" vertical="center" wrapText="1"/>
    </xf>
    <xf numFmtId="1" fontId="43" fillId="0" borderId="48" xfId="60" applyNumberFormat="1" applyFont="1" applyFill="1" applyBorder="1" applyAlignment="1">
      <alignment horizontal="center" vertical="center" wrapText="1"/>
    </xf>
    <xf numFmtId="1" fontId="43" fillId="0" borderId="59" xfId="60" applyNumberFormat="1" applyFont="1" applyFill="1" applyBorder="1" applyAlignment="1">
      <alignment horizontal="center" vertical="center" wrapText="1"/>
    </xf>
    <xf numFmtId="41" fontId="51" fillId="0" borderId="48" xfId="45" applyNumberFormat="1" applyFont="1" applyFill="1" applyBorder="1" applyAlignment="1">
      <alignment horizontal="center"/>
    </xf>
    <xf numFmtId="41" fontId="51" fillId="0" borderId="59" xfId="45" applyNumberFormat="1" applyFont="1" applyFill="1" applyBorder="1" applyAlignment="1">
      <alignment horizontal="center"/>
    </xf>
    <xf numFmtId="0" fontId="51" fillId="0" borderId="48" xfId="0" applyFont="1" applyBorder="1" applyAlignment="1">
      <alignment horizontal="center" wrapText="1"/>
    </xf>
    <xf numFmtId="1" fontId="51" fillId="0" borderId="48" xfId="0" applyNumberFormat="1" applyFont="1" applyBorder="1" applyAlignment="1">
      <alignment horizontal="center" wrapText="1"/>
    </xf>
    <xf numFmtId="3" fontId="51" fillId="0" borderId="59" xfId="0" applyNumberFormat="1" applyFont="1" applyBorder="1" applyAlignment="1">
      <alignment horizontal="center" wrapText="1"/>
    </xf>
    <xf numFmtId="0" fontId="51" fillId="0" borderId="53" xfId="0" applyFont="1" applyBorder="1" applyAlignment="1">
      <alignment horizontal="center" wrapText="1"/>
    </xf>
    <xf numFmtId="3" fontId="51" fillId="0" borderId="68" xfId="0" applyNumberFormat="1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3" fontId="51" fillId="0" borderId="0" xfId="0" applyNumberFormat="1" applyFont="1" applyBorder="1" applyAlignment="1">
      <alignment horizontal="center" wrapText="1"/>
    </xf>
    <xf numFmtId="0" fontId="2" fillId="0" borderId="0" xfId="56" applyFont="1" applyFill="1" applyBorder="1" applyAlignment="1">
      <alignment horizontal="left" vertical="center" wrapText="1"/>
      <protection/>
    </xf>
    <xf numFmtId="1" fontId="51" fillId="0" borderId="47" xfId="0" applyNumberFormat="1" applyFont="1" applyFill="1" applyBorder="1" applyAlignment="1">
      <alignment/>
    </xf>
    <xf numFmtId="1" fontId="51" fillId="0" borderId="66" xfId="0" applyNumberFormat="1" applyFont="1" applyFill="1" applyBorder="1" applyAlignment="1">
      <alignment/>
    </xf>
    <xf numFmtId="1" fontId="51" fillId="0" borderId="48" xfId="0" applyNumberFormat="1" applyFont="1" applyFill="1" applyBorder="1" applyAlignment="1">
      <alignment/>
    </xf>
    <xf numFmtId="1" fontId="51" fillId="0" borderId="59" xfId="0" applyNumberFormat="1" applyFont="1" applyFill="1" applyBorder="1" applyAlignment="1">
      <alignment/>
    </xf>
    <xf numFmtId="1" fontId="51" fillId="0" borderId="53" xfId="0" applyNumberFormat="1" applyFont="1" applyFill="1" applyBorder="1" applyAlignment="1">
      <alignment/>
    </xf>
    <xf numFmtId="1" fontId="51" fillId="0" borderId="68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 wrapText="1"/>
    </xf>
    <xf numFmtId="3" fontId="43" fillId="0" borderId="49" xfId="0" applyNumberFormat="1" applyFont="1" applyFill="1" applyBorder="1" applyAlignment="1">
      <alignment horizontal="center" vertical="center" wrapText="1"/>
    </xf>
    <xf numFmtId="3" fontId="43" fillId="0" borderId="82" xfId="0" applyNumberFormat="1" applyFont="1" applyFill="1" applyBorder="1" applyAlignment="1">
      <alignment horizontal="center" vertical="center" wrapText="1"/>
    </xf>
    <xf numFmtId="3" fontId="43" fillId="0" borderId="47" xfId="0" applyNumberFormat="1" applyFont="1" applyFill="1" applyBorder="1" applyAlignment="1">
      <alignment horizontal="center" vertical="center" wrapText="1"/>
    </xf>
    <xf numFmtId="3" fontId="43" fillId="0" borderId="66" xfId="0" applyNumberFormat="1" applyFont="1" applyFill="1" applyBorder="1" applyAlignment="1">
      <alignment horizontal="center" vertical="center" wrapText="1"/>
    </xf>
    <xf numFmtId="3" fontId="43" fillId="0" borderId="53" xfId="0" applyNumberFormat="1" applyFont="1" applyFill="1" applyBorder="1" applyAlignment="1">
      <alignment horizontal="center" vertical="center" wrapText="1"/>
    </xf>
    <xf numFmtId="3" fontId="43" fillId="0" borderId="68" xfId="0" applyNumberFormat="1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center" vertical="center" wrapText="1"/>
    </xf>
    <xf numFmtId="0" fontId="43" fillId="36" borderId="53" xfId="0" applyFont="1" applyFill="1" applyBorder="1" applyAlignment="1">
      <alignment horizontal="center" vertical="center" wrapText="1"/>
    </xf>
    <xf numFmtId="0" fontId="43" fillId="0" borderId="53" xfId="0" applyFont="1" applyFill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9" fontId="41" fillId="0" borderId="0" xfId="0" applyNumberFormat="1" applyFont="1" applyAlignment="1">
      <alignment/>
    </xf>
    <xf numFmtId="3" fontId="5" fillId="0" borderId="48" xfId="0" applyNumberFormat="1" applyFont="1" applyFill="1" applyBorder="1" applyAlignment="1">
      <alignment horizontal="center" vertical="center" wrapText="1"/>
    </xf>
    <xf numFmtId="3" fontId="5" fillId="0" borderId="59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top" wrapText="1"/>
    </xf>
    <xf numFmtId="3" fontId="51" fillId="0" borderId="48" xfId="0" applyNumberFormat="1" applyFont="1" applyFill="1" applyBorder="1" applyAlignment="1">
      <alignment horizontal="center" vertical="center" wrapText="1"/>
    </xf>
    <xf numFmtId="3" fontId="51" fillId="0" borderId="73" xfId="0" applyNumberFormat="1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wrapText="1"/>
    </xf>
    <xf numFmtId="0" fontId="43" fillId="0" borderId="47" xfId="0" applyFont="1" applyFill="1" applyBorder="1" applyAlignment="1">
      <alignment horizontal="center" vertical="center"/>
    </xf>
    <xf numFmtId="0" fontId="43" fillId="0" borderId="66" xfId="0" applyFont="1" applyFill="1" applyBorder="1" applyAlignment="1">
      <alignment horizontal="center" vertical="center"/>
    </xf>
    <xf numFmtId="1" fontId="15" fillId="0" borderId="48" xfId="0" applyNumberFormat="1" applyFont="1" applyFill="1" applyBorder="1" applyAlignment="1">
      <alignment horizontal="center" vertical="center"/>
    </xf>
    <xf numFmtId="1" fontId="15" fillId="0" borderId="47" xfId="0" applyNumberFormat="1" applyFont="1" applyFill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9" fillId="0" borderId="1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/>
    </xf>
    <xf numFmtId="0" fontId="9" fillId="0" borderId="60" xfId="0" applyFont="1" applyFill="1" applyBorder="1" applyAlignment="1">
      <alignment/>
    </xf>
    <xf numFmtId="0" fontId="9" fillId="0" borderId="16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0" fontId="2" fillId="0" borderId="24" xfId="0" applyFont="1" applyFill="1" applyBorder="1" applyAlignment="1">
      <alignment horizontal="center" wrapText="1"/>
    </xf>
    <xf numFmtId="0" fontId="9" fillId="0" borderId="7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70" xfId="0" applyFont="1" applyFill="1" applyBorder="1" applyAlignment="1">
      <alignment/>
    </xf>
    <xf numFmtId="0" fontId="10" fillId="0" borderId="72" xfId="0" applyFont="1" applyFill="1" applyBorder="1" applyAlignment="1">
      <alignment/>
    </xf>
    <xf numFmtId="0" fontId="9" fillId="0" borderId="58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wrapText="1"/>
    </xf>
    <xf numFmtId="0" fontId="9" fillId="0" borderId="83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/>
    </xf>
    <xf numFmtId="0" fontId="10" fillId="0" borderId="71" xfId="0" applyFont="1" applyFill="1" applyBorder="1" applyAlignment="1">
      <alignment/>
    </xf>
    <xf numFmtId="0" fontId="9" fillId="0" borderId="77" xfId="0" applyFont="1" applyFill="1" applyBorder="1" applyAlignment="1">
      <alignment horizontal="center" wrapText="1"/>
    </xf>
    <xf numFmtId="0" fontId="9" fillId="0" borderId="71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 wrapText="1"/>
    </xf>
    <xf numFmtId="0" fontId="9" fillId="0" borderId="78" xfId="0" applyFont="1" applyFill="1" applyBorder="1" applyAlignment="1">
      <alignment horizontal="center" wrapText="1"/>
    </xf>
    <xf numFmtId="0" fontId="149" fillId="0" borderId="28" xfId="56" applyFont="1" applyFill="1" applyBorder="1" applyAlignment="1">
      <alignment horizontal="left" wrapText="1"/>
      <protection/>
    </xf>
    <xf numFmtId="0" fontId="149" fillId="0" borderId="29" xfId="56" applyFont="1" applyFill="1" applyBorder="1" applyAlignment="1">
      <alignment horizontal="left" wrapText="1"/>
      <protection/>
    </xf>
    <xf numFmtId="1" fontId="149" fillId="0" borderId="28" xfId="56" applyNumberFormat="1" applyFont="1" applyFill="1" applyBorder="1" applyAlignment="1">
      <alignment horizontal="center" wrapText="1"/>
      <protection/>
    </xf>
    <xf numFmtId="1" fontId="149" fillId="0" borderId="29" xfId="56" applyNumberFormat="1" applyFont="1" applyFill="1" applyBorder="1" applyAlignment="1">
      <alignment horizontal="center" wrapText="1"/>
      <protection/>
    </xf>
    <xf numFmtId="2" fontId="149" fillId="0" borderId="30" xfId="56" applyNumberFormat="1" applyFont="1" applyFill="1" applyBorder="1" applyAlignment="1">
      <alignment horizontal="center" wrapText="1"/>
      <protection/>
    </xf>
    <xf numFmtId="0" fontId="149" fillId="0" borderId="29" xfId="56" applyFont="1" applyFill="1" applyBorder="1" applyAlignment="1">
      <alignment horizontal="center" wrapText="1"/>
      <protection/>
    </xf>
    <xf numFmtId="1" fontId="149" fillId="0" borderId="28" xfId="0" applyNumberFormat="1" applyFont="1" applyFill="1" applyBorder="1" applyAlignment="1">
      <alignment horizontal="center" wrapText="1"/>
    </xf>
    <xf numFmtId="1" fontId="134" fillId="0" borderId="45" xfId="0" applyNumberFormat="1" applyFont="1" applyFill="1" applyBorder="1" applyAlignment="1">
      <alignment horizontal="center" wrapText="1"/>
    </xf>
    <xf numFmtId="0" fontId="153" fillId="0" borderId="0" xfId="63" applyNumberFormat="1" applyFont="1" applyFill="1" applyAlignment="1">
      <alignment/>
    </xf>
    <xf numFmtId="0" fontId="153" fillId="0" borderId="0" xfId="60" applyNumberFormat="1" applyFont="1" applyAlignment="1">
      <alignment/>
    </xf>
    <xf numFmtId="0" fontId="153" fillId="0" borderId="0" xfId="0" applyNumberFormat="1" applyFont="1" applyAlignment="1">
      <alignment/>
    </xf>
    <xf numFmtId="0" fontId="154" fillId="0" borderId="0" xfId="0" applyFont="1" applyAlignment="1">
      <alignment/>
    </xf>
    <xf numFmtId="1" fontId="22" fillId="0" borderId="70" xfId="0" applyNumberFormat="1" applyFont="1" applyFill="1" applyBorder="1" applyAlignment="1">
      <alignment horizontal="center" wrapText="1"/>
    </xf>
    <xf numFmtId="1" fontId="22" fillId="0" borderId="72" xfId="0" applyNumberFormat="1" applyFont="1" applyFill="1" applyBorder="1" applyAlignment="1">
      <alignment horizontal="center" wrapText="1"/>
    </xf>
    <xf numFmtId="0" fontId="149" fillId="0" borderId="32" xfId="56" applyFont="1" applyFill="1" applyBorder="1" applyAlignment="1">
      <alignment horizontal="left" wrapText="1"/>
      <protection/>
    </xf>
    <xf numFmtId="0" fontId="149" fillId="0" borderId="24" xfId="56" applyFont="1" applyFill="1" applyBorder="1" applyAlignment="1">
      <alignment horizontal="left" wrapText="1"/>
      <protection/>
    </xf>
    <xf numFmtId="1" fontId="149" fillId="0" borderId="32" xfId="56" applyNumberFormat="1" applyFont="1" applyFill="1" applyBorder="1" applyAlignment="1">
      <alignment horizontal="center" wrapText="1"/>
      <protection/>
    </xf>
    <xf numFmtId="1" fontId="149" fillId="0" borderId="24" xfId="56" applyNumberFormat="1" applyFont="1" applyFill="1" applyBorder="1" applyAlignment="1">
      <alignment horizontal="center" wrapText="1"/>
      <protection/>
    </xf>
    <xf numFmtId="2" fontId="149" fillId="0" borderId="33" xfId="56" applyNumberFormat="1" applyFont="1" applyFill="1" applyBorder="1" applyAlignment="1">
      <alignment horizontal="center" wrapText="1"/>
      <protection/>
    </xf>
    <xf numFmtId="0" fontId="149" fillId="0" borderId="24" xfId="56" applyFont="1" applyFill="1" applyBorder="1" applyAlignment="1">
      <alignment horizontal="center" wrapText="1"/>
      <protection/>
    </xf>
    <xf numFmtId="1" fontId="149" fillId="0" borderId="32" xfId="0" applyNumberFormat="1" applyFont="1" applyFill="1" applyBorder="1" applyAlignment="1">
      <alignment horizontal="center" wrapText="1"/>
    </xf>
    <xf numFmtId="1" fontId="149" fillId="0" borderId="15" xfId="56" applyNumberFormat="1" applyFont="1" applyFill="1" applyBorder="1" applyAlignment="1">
      <alignment horizontal="center" wrapText="1"/>
      <protection/>
    </xf>
    <xf numFmtId="2" fontId="134" fillId="0" borderId="15" xfId="0" applyNumberFormat="1" applyFont="1" applyBorder="1" applyAlignment="1">
      <alignment horizontal="center"/>
    </xf>
    <xf numFmtId="0" fontId="154" fillId="0" borderId="0" xfId="0" applyNumberFormat="1" applyFont="1" applyAlignment="1">
      <alignment/>
    </xf>
    <xf numFmtId="0" fontId="22" fillId="0" borderId="70" xfId="56" applyFont="1" applyFill="1" applyBorder="1" applyAlignment="1">
      <alignment horizontal="left" wrapText="1"/>
      <protection/>
    </xf>
    <xf numFmtId="1" fontId="22" fillId="0" borderId="70" xfId="56" applyNumberFormat="1" applyFont="1" applyFill="1" applyBorder="1" applyAlignment="1">
      <alignment horizontal="center" wrapText="1"/>
      <protection/>
    </xf>
    <xf numFmtId="2" fontId="22" fillId="0" borderId="72" xfId="56" applyNumberFormat="1" applyFont="1" applyFill="1" applyBorder="1" applyAlignment="1">
      <alignment horizontal="center" wrapText="1"/>
      <protection/>
    </xf>
    <xf numFmtId="2" fontId="22" fillId="0" borderId="84" xfId="56" applyNumberFormat="1" applyFont="1" applyFill="1" applyBorder="1" applyAlignment="1">
      <alignment horizontal="center" wrapText="1"/>
      <protection/>
    </xf>
    <xf numFmtId="0" fontId="22" fillId="0" borderId="72" xfId="56" applyFont="1" applyFill="1" applyBorder="1" applyAlignment="1">
      <alignment horizontal="center" wrapText="1"/>
      <protection/>
    </xf>
    <xf numFmtId="1" fontId="12" fillId="0" borderId="70" xfId="0" applyNumberFormat="1" applyFont="1" applyFill="1" applyBorder="1" applyAlignment="1">
      <alignment horizontal="center" wrapText="1"/>
    </xf>
    <xf numFmtId="2" fontId="12" fillId="0" borderId="58" xfId="0" applyNumberFormat="1" applyFont="1" applyFill="1" applyBorder="1" applyAlignment="1">
      <alignment horizontal="center" wrapText="1"/>
    </xf>
    <xf numFmtId="1" fontId="134" fillId="0" borderId="15" xfId="0" applyNumberFormat="1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2" fontId="22" fillId="38" borderId="0" xfId="0" applyNumberFormat="1" applyFont="1" applyFill="1" applyBorder="1" applyAlignment="1">
      <alignment horizontal="center" wrapText="1"/>
    </xf>
    <xf numFmtId="2" fontId="22" fillId="38" borderId="14" xfId="0" applyNumberFormat="1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81" fillId="35" borderId="26" xfId="0" applyFont="1" applyFill="1" applyBorder="1" applyAlignment="1">
      <alignment horizontal="center"/>
    </xf>
    <xf numFmtId="0" fontId="81" fillId="35" borderId="27" xfId="0" applyFont="1" applyFill="1" applyBorder="1" applyAlignment="1">
      <alignment horizontal="center"/>
    </xf>
    <xf numFmtId="0" fontId="81" fillId="35" borderId="55" xfId="0" applyFont="1" applyFill="1" applyBorder="1" applyAlignment="1">
      <alignment horizontal="center"/>
    </xf>
    <xf numFmtId="0" fontId="81" fillId="35" borderId="37" xfId="0" applyFont="1" applyFill="1" applyBorder="1" applyAlignment="1">
      <alignment horizontal="center"/>
    </xf>
    <xf numFmtId="0" fontId="51" fillId="35" borderId="26" xfId="0" applyFont="1" applyFill="1" applyBorder="1" applyAlignment="1">
      <alignment horizontal="center" wrapText="1"/>
    </xf>
    <xf numFmtId="0" fontId="51" fillId="35" borderId="27" xfId="0" applyFont="1" applyFill="1" applyBorder="1" applyAlignment="1">
      <alignment horizontal="center" wrapText="1"/>
    </xf>
    <xf numFmtId="0" fontId="51" fillId="35" borderId="69" xfId="0" applyFont="1" applyFill="1" applyBorder="1" applyAlignment="1">
      <alignment horizontal="center" wrapText="1"/>
    </xf>
    <xf numFmtId="0" fontId="51" fillId="35" borderId="36" xfId="0" applyFont="1" applyFill="1" applyBorder="1" applyAlignment="1">
      <alignment horizontal="center" wrapText="1"/>
    </xf>
    <xf numFmtId="0" fontId="51" fillId="35" borderId="75" xfId="0" applyFont="1" applyFill="1" applyBorder="1" applyAlignment="1">
      <alignment horizontal="center" wrapText="1"/>
    </xf>
    <xf numFmtId="0" fontId="51" fillId="35" borderId="19" xfId="0" applyFont="1" applyFill="1" applyBorder="1" applyAlignment="1">
      <alignment horizont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08" fillId="0" borderId="37" xfId="0" applyFont="1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108" fillId="35" borderId="26" xfId="0" applyFont="1" applyFill="1" applyBorder="1" applyAlignment="1">
      <alignment horizontal="center"/>
    </xf>
    <xf numFmtId="0" fontId="108" fillId="35" borderId="27" xfId="0" applyFont="1" applyFill="1" applyBorder="1" applyAlignment="1">
      <alignment horizontal="center"/>
    </xf>
    <xf numFmtId="0" fontId="108" fillId="35" borderId="55" xfId="0" applyFont="1" applyFill="1" applyBorder="1" applyAlignment="1">
      <alignment horizontal="center"/>
    </xf>
    <xf numFmtId="0" fontId="108" fillId="35" borderId="37" xfId="0" applyFont="1" applyFill="1" applyBorder="1" applyAlignment="1">
      <alignment horizontal="center"/>
    </xf>
    <xf numFmtId="0" fontId="21" fillId="35" borderId="26" xfId="0" applyFont="1" applyFill="1" applyBorder="1" applyAlignment="1">
      <alignment horizontal="center" wrapText="1"/>
    </xf>
    <xf numFmtId="0" fontId="21" fillId="35" borderId="27" xfId="0" applyFont="1" applyFill="1" applyBorder="1" applyAlignment="1">
      <alignment horizontal="center" wrapText="1"/>
    </xf>
    <xf numFmtId="0" fontId="21" fillId="35" borderId="69" xfId="0" applyFont="1" applyFill="1" applyBorder="1" applyAlignment="1">
      <alignment horizontal="center" wrapText="1"/>
    </xf>
    <xf numFmtId="0" fontId="21" fillId="35" borderId="36" xfId="0" applyFont="1" applyFill="1" applyBorder="1" applyAlignment="1">
      <alignment horizontal="center" wrapText="1"/>
    </xf>
    <xf numFmtId="0" fontId="51" fillId="35" borderId="55" xfId="0" applyFont="1" applyFill="1" applyBorder="1" applyAlignment="1">
      <alignment horizontal="center" wrapText="1"/>
    </xf>
    <xf numFmtId="0" fontId="51" fillId="35" borderId="37" xfId="0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71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1" fillId="33" borderId="54" xfId="0" applyFont="1" applyFill="1" applyBorder="1" applyAlignment="1">
      <alignment horizontal="center" vertical="center" wrapText="1"/>
    </xf>
    <xf numFmtId="0" fontId="21" fillId="33" borderId="79" xfId="0" applyFont="1" applyFill="1" applyBorder="1" applyAlignment="1">
      <alignment horizontal="center" vertical="center" wrapText="1"/>
    </xf>
    <xf numFmtId="0" fontId="21" fillId="33" borderId="67" xfId="0" applyFont="1" applyFill="1" applyBorder="1" applyAlignment="1">
      <alignment horizontal="center" vertical="center" wrapText="1"/>
    </xf>
    <xf numFmtId="0" fontId="21" fillId="33" borderId="47" xfId="0" applyFont="1" applyFill="1" applyBorder="1" applyAlignment="1">
      <alignment horizontal="center" vertical="center" wrapText="1"/>
    </xf>
    <xf numFmtId="0" fontId="21" fillId="33" borderId="48" xfId="0" applyFont="1" applyFill="1" applyBorder="1" applyAlignment="1">
      <alignment horizontal="center" vertical="center" wrapText="1"/>
    </xf>
    <xf numFmtId="0" fontId="21" fillId="33" borderId="53" xfId="0" applyFont="1" applyFill="1" applyBorder="1" applyAlignment="1">
      <alignment horizontal="center" vertical="center" wrapText="1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 wrapText="1"/>
    </xf>
    <xf numFmtId="0" fontId="12" fillId="35" borderId="27" xfId="0" applyFont="1" applyFill="1" applyBorder="1" applyAlignment="1">
      <alignment horizontal="center" wrapText="1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12" fillId="35" borderId="75" xfId="0" applyFont="1" applyFill="1" applyBorder="1" applyAlignment="1">
      <alignment horizontal="center" wrapText="1"/>
    </xf>
    <xf numFmtId="0" fontId="12" fillId="35" borderId="19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/>
    </xf>
    <xf numFmtId="0" fontId="21" fillId="33" borderId="6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3" fillId="5" borderId="34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wrapText="1"/>
    </xf>
    <xf numFmtId="0" fontId="36" fillId="0" borderId="0" xfId="0" applyNumberFormat="1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2" fontId="22" fillId="0" borderId="26" xfId="0" applyNumberFormat="1" applyFont="1" applyBorder="1" applyAlignment="1">
      <alignment horizontal="center" vertical="center" wrapText="1"/>
    </xf>
    <xf numFmtId="2" fontId="22" fillId="0" borderId="71" xfId="0" applyNumberFormat="1" applyFont="1" applyBorder="1" applyAlignment="1">
      <alignment horizontal="center" vertical="center" wrapText="1"/>
    </xf>
    <xf numFmtId="2" fontId="22" fillId="0" borderId="27" xfId="0" applyNumberFormat="1" applyFont="1" applyBorder="1" applyAlignment="1">
      <alignment horizontal="center" vertical="center" wrapText="1"/>
    </xf>
    <xf numFmtId="0" fontId="23" fillId="5" borderId="69" xfId="0" applyFont="1" applyFill="1" applyBorder="1" applyAlignment="1">
      <alignment horizontal="center" vertical="center" wrapText="1"/>
    </xf>
    <xf numFmtId="0" fontId="23" fillId="5" borderId="55" xfId="0" applyFont="1" applyFill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1" fontId="22" fillId="0" borderId="47" xfId="0" applyNumberFormat="1" applyFont="1" applyFill="1" applyBorder="1" applyAlignment="1">
      <alignment horizontal="center" wrapText="1"/>
    </xf>
    <xf numFmtId="2" fontId="22" fillId="0" borderId="53" xfId="0" applyNumberFormat="1" applyFont="1" applyFill="1" applyBorder="1" applyAlignment="1">
      <alignment horizont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" fontId="21" fillId="0" borderId="85" xfId="0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2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78" fillId="0" borderId="37" xfId="0" applyFont="1" applyBorder="1" applyAlignment="1">
      <alignment horizontal="center"/>
    </xf>
    <xf numFmtId="0" fontId="10" fillId="0" borderId="69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81" fillId="0" borderId="26" xfId="0" applyFont="1" applyFill="1" applyBorder="1" applyAlignment="1">
      <alignment horizontal="center"/>
    </xf>
    <xf numFmtId="0" fontId="81" fillId="0" borderId="27" xfId="0" applyFont="1" applyFill="1" applyBorder="1" applyAlignment="1">
      <alignment horizontal="center"/>
    </xf>
    <xf numFmtId="0" fontId="81" fillId="0" borderId="23" xfId="0" applyFont="1" applyFill="1" applyBorder="1" applyAlignment="1">
      <alignment horizontal="center"/>
    </xf>
    <xf numFmtId="0" fontId="81" fillId="0" borderId="29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 wrapText="1"/>
    </xf>
    <xf numFmtId="0" fontId="51" fillId="0" borderId="29" xfId="0" applyFont="1" applyFill="1" applyBorder="1" applyAlignment="1">
      <alignment horizontal="center" wrapText="1"/>
    </xf>
    <xf numFmtId="0" fontId="51" fillId="0" borderId="69" xfId="0" applyFont="1" applyFill="1" applyBorder="1" applyAlignment="1">
      <alignment horizontal="center" wrapText="1"/>
    </xf>
    <xf numFmtId="0" fontId="51" fillId="0" borderId="74" xfId="0" applyFont="1" applyFill="1" applyBorder="1" applyAlignment="1">
      <alignment horizontal="center" wrapText="1"/>
    </xf>
    <xf numFmtId="0" fontId="51" fillId="0" borderId="36" xfId="0" applyFont="1" applyFill="1" applyBorder="1" applyAlignment="1">
      <alignment horizontal="center" wrapText="1"/>
    </xf>
    <xf numFmtId="0" fontId="51" fillId="0" borderId="65" xfId="0" applyFont="1" applyFill="1" applyBorder="1" applyAlignment="1">
      <alignment horizontal="center" wrapText="1"/>
    </xf>
    <xf numFmtId="0" fontId="54" fillId="0" borderId="26" xfId="55" applyFont="1" applyFill="1" applyBorder="1" applyAlignment="1">
      <alignment horizontal="center" vertical="center"/>
      <protection/>
    </xf>
    <xf numFmtId="0" fontId="54" fillId="0" borderId="71" xfId="55" applyFont="1" applyFill="1" applyBorder="1" applyAlignment="1">
      <alignment horizontal="center" vertical="center"/>
      <protection/>
    </xf>
    <xf numFmtId="0" fontId="54" fillId="0" borderId="27" xfId="55" applyFont="1" applyFill="1" applyBorder="1" applyAlignment="1">
      <alignment horizontal="center" vertical="center"/>
      <protection/>
    </xf>
    <xf numFmtId="0" fontId="5" fillId="0" borderId="22" xfId="0" applyFont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10" fillId="0" borderId="26" xfId="0" applyFont="1" applyBorder="1" applyAlignment="1">
      <alignment horizontal="center"/>
    </xf>
    <xf numFmtId="0" fontId="110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64" xfId="0" applyFont="1" applyBorder="1" applyAlignment="1">
      <alignment/>
    </xf>
    <xf numFmtId="0" fontId="0" fillId="0" borderId="44" xfId="0" applyFont="1" applyBorder="1" applyAlignment="1">
      <alignment/>
    </xf>
    <xf numFmtId="0" fontId="5" fillId="0" borderId="22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26" xfId="55" applyFont="1" applyFill="1" applyBorder="1" applyAlignment="1">
      <alignment horizontal="center" vertical="center" wrapText="1"/>
      <protection/>
    </xf>
    <xf numFmtId="0" fontId="8" fillId="0" borderId="71" xfId="55" applyFont="1" applyFill="1" applyBorder="1" applyAlignment="1">
      <alignment horizontal="center" vertical="center" wrapText="1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0" fontId="54" fillId="0" borderId="69" xfId="55" applyFont="1" applyFill="1" applyBorder="1" applyAlignment="1">
      <alignment horizontal="center" vertical="center" wrapText="1"/>
      <protection/>
    </xf>
    <xf numFmtId="0" fontId="54" fillId="0" borderId="62" xfId="55" applyFont="1" applyFill="1" applyBorder="1" applyAlignment="1">
      <alignment horizontal="center" vertical="center" wrapText="1"/>
      <protection/>
    </xf>
    <xf numFmtId="0" fontId="54" fillId="0" borderId="36" xfId="55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8" fillId="5" borderId="60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4" fillId="0" borderId="26" xfId="55" applyFont="1" applyFill="1" applyBorder="1" applyAlignment="1">
      <alignment horizontal="center" vertical="center" wrapText="1"/>
      <protection/>
    </xf>
    <xf numFmtId="0" fontId="54" fillId="0" borderId="71" xfId="55" applyFont="1" applyFill="1" applyBorder="1" applyAlignment="1">
      <alignment horizontal="center" vertical="center" wrapText="1"/>
      <protection/>
    </xf>
    <xf numFmtId="0" fontId="54" fillId="0" borderId="27" xfId="55" applyFont="1" applyFill="1" applyBorder="1" applyAlignment="1">
      <alignment horizontal="center" vertical="center" wrapText="1"/>
      <protection/>
    </xf>
    <xf numFmtId="0" fontId="54" fillId="0" borderId="86" xfId="55" applyFont="1" applyFill="1" applyBorder="1" applyAlignment="1">
      <alignment horizontal="center" vertical="center" wrapText="1"/>
      <protection/>
    </xf>
    <xf numFmtId="0" fontId="54" fillId="0" borderId="87" xfId="55" applyFont="1" applyFill="1" applyBorder="1" applyAlignment="1">
      <alignment horizontal="center" vertical="center" wrapText="1"/>
      <protection/>
    </xf>
    <xf numFmtId="0" fontId="54" fillId="0" borderId="76" xfId="55" applyFont="1" applyFill="1" applyBorder="1" applyAlignment="1">
      <alignment horizontal="center" vertical="center" wrapText="1"/>
      <protection/>
    </xf>
    <xf numFmtId="0" fontId="51" fillId="0" borderId="26" xfId="0" applyFont="1" applyFill="1" applyBorder="1" applyAlignment="1">
      <alignment horizontal="center" wrapText="1"/>
    </xf>
    <xf numFmtId="0" fontId="51" fillId="0" borderId="27" xfId="0" applyFont="1" applyFill="1" applyBorder="1" applyAlignment="1">
      <alignment horizontal="center" wrapText="1"/>
    </xf>
    <xf numFmtId="0" fontId="10" fillId="0" borderId="74" xfId="0" applyFont="1" applyFill="1" applyBorder="1" applyAlignment="1">
      <alignment horizontal="center" wrapText="1"/>
    </xf>
    <xf numFmtId="0" fontId="10" fillId="0" borderId="65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8" fillId="0" borderId="26" xfId="0" applyFont="1" applyFill="1" applyBorder="1" applyAlignment="1">
      <alignment horizontal="center"/>
    </xf>
    <xf numFmtId="0" fontId="78" fillId="0" borderId="27" xfId="0" applyFont="1" applyFill="1" applyBorder="1" applyAlignment="1">
      <alignment horizontal="center"/>
    </xf>
    <xf numFmtId="0" fontId="78" fillId="0" borderId="55" xfId="0" applyFont="1" applyFill="1" applyBorder="1" applyAlignment="1">
      <alignment horizontal="center"/>
    </xf>
    <xf numFmtId="0" fontId="78" fillId="0" borderId="3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55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79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5" fillId="0" borderId="67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7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top" wrapText="1"/>
    </xf>
    <xf numFmtId="0" fontId="15" fillId="0" borderId="45" xfId="0" applyFont="1" applyFill="1" applyBorder="1" applyAlignment="1">
      <alignment horizontal="left" vertical="top" wrapText="1"/>
    </xf>
    <xf numFmtId="0" fontId="15" fillId="0" borderId="67" xfId="0" applyFont="1" applyFill="1" applyBorder="1" applyAlignment="1">
      <alignment horizontal="left" vertical="top" wrapText="1"/>
    </xf>
    <xf numFmtId="0" fontId="41" fillId="0" borderId="51" xfId="0" applyFont="1" applyFill="1" applyBorder="1" applyAlignment="1">
      <alignment horizontal="center" vertical="top" wrapText="1"/>
    </xf>
    <xf numFmtId="0" fontId="41" fillId="0" borderId="6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54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54" xfId="0" applyFont="1" applyFill="1" applyBorder="1" applyAlignment="1">
      <alignment horizontal="center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79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79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79" xfId="0" applyFont="1" applyFill="1" applyBorder="1" applyAlignment="1">
      <alignment horizontal="left"/>
    </xf>
    <xf numFmtId="0" fontId="48" fillId="0" borderId="48" xfId="0" applyFont="1" applyFill="1" applyBorder="1" applyAlignment="1">
      <alignment horizontal="center" wrapText="1"/>
    </xf>
    <xf numFmtId="0" fontId="15" fillId="0" borderId="51" xfId="56" applyFont="1" applyFill="1" applyBorder="1" applyAlignment="1">
      <alignment horizontal="left" vertical="center" wrapText="1"/>
      <protection/>
    </xf>
    <xf numFmtId="0" fontId="15" fillId="0" borderId="67" xfId="56" applyFont="1" applyFill="1" applyBorder="1" applyAlignment="1">
      <alignment horizontal="left" vertical="center" wrapText="1"/>
      <protection/>
    </xf>
    <xf numFmtId="0" fontId="16" fillId="0" borderId="51" xfId="56" applyFont="1" applyFill="1" applyBorder="1" applyAlignment="1">
      <alignment horizontal="center" vertical="center" wrapText="1"/>
      <protection/>
    </xf>
    <xf numFmtId="0" fontId="16" fillId="0" borderId="67" xfId="56" applyFont="1" applyFill="1" applyBorder="1" applyAlignment="1">
      <alignment horizontal="center" vertical="center" wrapText="1"/>
      <protection/>
    </xf>
    <xf numFmtId="0" fontId="15" fillId="0" borderId="11" xfId="56" applyFont="1" applyFill="1" applyBorder="1" applyAlignment="1">
      <alignment horizontal="left" vertical="center" wrapText="1"/>
      <protection/>
    </xf>
    <xf numFmtId="0" fontId="15" fillId="0" borderId="79" xfId="56" applyFont="1" applyFill="1" applyBorder="1" applyAlignment="1">
      <alignment horizontal="left" vertical="center" wrapText="1"/>
      <protection/>
    </xf>
    <xf numFmtId="0" fontId="16" fillId="0" borderId="11" xfId="56" applyFont="1" applyFill="1" applyBorder="1" applyAlignment="1">
      <alignment horizontal="center" vertical="center" wrapText="1"/>
      <protection/>
    </xf>
    <xf numFmtId="0" fontId="16" fillId="0" borderId="79" xfId="56" applyFont="1" applyFill="1" applyBorder="1" applyAlignment="1">
      <alignment horizontal="center" vertical="center" wrapText="1"/>
      <protection/>
    </xf>
    <xf numFmtId="0" fontId="48" fillId="0" borderId="53" xfId="0" applyFont="1" applyFill="1" applyBorder="1" applyAlignment="1">
      <alignment horizontal="center" wrapText="1"/>
    </xf>
    <xf numFmtId="0" fontId="41" fillId="0" borderId="11" xfId="56" applyFont="1" applyFill="1" applyBorder="1" applyAlignment="1">
      <alignment horizontal="center" wrapText="1"/>
      <protection/>
    </xf>
    <xf numFmtId="0" fontId="41" fillId="0" borderId="79" xfId="56" applyFont="1" applyFill="1" applyBorder="1" applyAlignment="1">
      <alignment horizontal="center" wrapText="1"/>
      <protection/>
    </xf>
    <xf numFmtId="0" fontId="41" fillId="0" borderId="11" xfId="56" applyFont="1" applyFill="1" applyBorder="1" applyAlignment="1">
      <alignment horizontal="center" vertical="center" wrapText="1"/>
      <protection/>
    </xf>
    <xf numFmtId="0" fontId="41" fillId="0" borderId="79" xfId="56" applyFont="1" applyFill="1" applyBorder="1" applyAlignment="1">
      <alignment horizontal="center" vertical="center" wrapText="1"/>
      <protection/>
    </xf>
    <xf numFmtId="0" fontId="16" fillId="0" borderId="11" xfId="56" applyFont="1" applyFill="1" applyBorder="1" applyAlignment="1">
      <alignment horizontal="left" vertical="center" wrapText="1"/>
      <protection/>
    </xf>
    <xf numFmtId="0" fontId="16" fillId="0" borderId="79" xfId="56" applyFont="1" applyFill="1" applyBorder="1" applyAlignment="1">
      <alignment horizontal="left" vertical="center" wrapText="1"/>
      <protection/>
    </xf>
    <xf numFmtId="0" fontId="14" fillId="0" borderId="32" xfId="0" applyFont="1" applyBorder="1" applyAlignment="1">
      <alignment horizontal="left" vertical="center" wrapText="1"/>
    </xf>
    <xf numFmtId="0" fontId="14" fillId="0" borderId="79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 vertical="center" wrapText="1"/>
    </xf>
    <xf numFmtId="0" fontId="15" fillId="0" borderId="10" xfId="56" applyFont="1" applyFill="1" applyBorder="1" applyAlignment="1">
      <alignment horizontal="left" vertical="center" wrapText="1"/>
      <protection/>
    </xf>
    <xf numFmtId="0" fontId="15" fillId="0" borderId="54" xfId="56" applyFont="1" applyFill="1" applyBorder="1" applyAlignment="1">
      <alignment horizontal="left" vertical="center" wrapText="1"/>
      <protection/>
    </xf>
    <xf numFmtId="0" fontId="16" fillId="0" borderId="10" xfId="56" applyFont="1" applyFill="1" applyBorder="1" applyAlignment="1">
      <alignment horizontal="left" vertical="center" wrapText="1"/>
      <protection/>
    </xf>
    <xf numFmtId="0" fontId="16" fillId="0" borderId="54" xfId="56" applyFont="1" applyFill="1" applyBorder="1" applyAlignment="1">
      <alignment horizontal="left" vertical="center" wrapText="1"/>
      <protection/>
    </xf>
    <xf numFmtId="0" fontId="41" fillId="0" borderId="10" xfId="56" applyFont="1" applyFill="1" applyBorder="1" applyAlignment="1">
      <alignment horizontal="center" vertical="center" wrapText="1"/>
      <protection/>
    </xf>
    <xf numFmtId="0" fontId="41" fillId="0" borderId="54" xfId="56" applyFont="1" applyFill="1" applyBorder="1" applyAlignment="1">
      <alignment horizontal="center" vertical="center" wrapText="1"/>
      <protection/>
    </xf>
    <xf numFmtId="0" fontId="40" fillId="0" borderId="37" xfId="0" applyFont="1" applyBorder="1" applyAlignment="1">
      <alignment horizontal="center" wrapText="1"/>
    </xf>
    <xf numFmtId="0" fontId="44" fillId="0" borderId="32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79" xfId="0" applyFont="1" applyBorder="1" applyAlignment="1">
      <alignment horizontal="left" vertical="top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7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2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79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79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left" vertical="top" wrapText="1"/>
    </xf>
    <xf numFmtId="0" fontId="14" fillId="0" borderId="48" xfId="0" applyFont="1" applyBorder="1" applyAlignment="1">
      <alignment horizontal="left" vertical="top" wrapText="1"/>
    </xf>
    <xf numFmtId="0" fontId="16" fillId="0" borderId="48" xfId="0" applyFont="1" applyBorder="1" applyAlignment="1">
      <alignment horizontal="center" vertical="top" wrapText="1"/>
    </xf>
    <xf numFmtId="0" fontId="51" fillId="0" borderId="32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top" wrapText="1"/>
    </xf>
    <xf numFmtId="0" fontId="15" fillId="0" borderId="48" xfId="0" applyFont="1" applyBorder="1" applyAlignment="1">
      <alignment horizontal="left" vertical="top" wrapText="1"/>
    </xf>
    <xf numFmtId="0" fontId="43" fillId="0" borderId="32" xfId="0" applyFont="1" applyFill="1" applyBorder="1" applyAlignment="1">
      <alignment horizontal="left" vertical="top" wrapText="1"/>
    </xf>
    <xf numFmtId="0" fontId="43" fillId="0" borderId="15" xfId="0" applyFont="1" applyFill="1" applyBorder="1" applyAlignment="1">
      <alignment horizontal="left" vertical="top" wrapText="1"/>
    </xf>
    <xf numFmtId="0" fontId="15" fillId="0" borderId="34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54" xfId="0" applyFont="1" applyBorder="1" applyAlignment="1">
      <alignment vertical="top" wrapText="1"/>
    </xf>
    <xf numFmtId="0" fontId="41" fillId="0" borderId="47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79" xfId="0" applyFont="1" applyBorder="1" applyAlignment="1">
      <alignment vertical="top" wrapText="1"/>
    </xf>
    <xf numFmtId="0" fontId="15" fillId="0" borderId="32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79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83" xfId="0" applyFont="1" applyFill="1" applyBorder="1" applyAlignment="1">
      <alignment horizontal="center" vertical="top" wrapText="1"/>
    </xf>
    <xf numFmtId="0" fontId="51" fillId="0" borderId="32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top" wrapText="1"/>
    </xf>
    <xf numFmtId="0" fontId="41" fillId="0" borderId="5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45" xfId="0" applyFont="1" applyBorder="1" applyAlignment="1">
      <alignment horizontal="left" vertical="top" wrapText="1"/>
    </xf>
    <xf numFmtId="0" fontId="15" fillId="0" borderId="6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45" xfId="0" applyFont="1" applyBorder="1" applyAlignment="1">
      <alignment horizontal="left" vertical="top" wrapText="1"/>
    </xf>
    <xf numFmtId="0" fontId="16" fillId="0" borderId="32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79" xfId="0" applyFont="1" applyFill="1" applyBorder="1" applyAlignment="1">
      <alignment horizontal="left" vertical="top" wrapText="1"/>
    </xf>
    <xf numFmtId="0" fontId="16" fillId="0" borderId="48" xfId="0" applyFont="1" applyFill="1" applyBorder="1" applyAlignment="1">
      <alignment horizontal="center" vertical="top" wrapText="1"/>
    </xf>
    <xf numFmtId="0" fontId="15" fillId="0" borderId="70" xfId="0" applyFont="1" applyBorder="1" applyAlignment="1">
      <alignment horizontal="left" vertical="top" wrapText="1"/>
    </xf>
    <xf numFmtId="0" fontId="15" fillId="0" borderId="58" xfId="0" applyFont="1" applyBorder="1" applyAlignment="1">
      <alignment horizontal="left" vertical="top" wrapText="1"/>
    </xf>
    <xf numFmtId="0" fontId="15" fillId="0" borderId="83" xfId="0" applyFont="1" applyBorder="1" applyAlignment="1">
      <alignment horizontal="left"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79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43" fillId="0" borderId="34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54" xfId="0" applyFont="1" applyBorder="1" applyAlignment="1">
      <alignment horizontal="center" vertical="top" wrapText="1"/>
    </xf>
    <xf numFmtId="0" fontId="43" fillId="0" borderId="47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79" xfId="0" applyFont="1" applyBorder="1" applyAlignment="1">
      <alignment horizontal="center" vertical="top" wrapText="1"/>
    </xf>
    <xf numFmtId="0" fontId="15" fillId="0" borderId="48" xfId="0" applyFont="1" applyBorder="1" applyAlignment="1">
      <alignment horizontal="center" vertical="top" wrapText="1"/>
    </xf>
    <xf numFmtId="0" fontId="17" fillId="0" borderId="4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5" fillId="0" borderId="3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54" xfId="0" applyFont="1" applyBorder="1" applyAlignment="1">
      <alignment horizontal="center" vertical="top" wrapText="1"/>
    </xf>
    <xf numFmtId="0" fontId="17" fillId="0" borderId="47" xfId="0" applyFont="1" applyBorder="1" applyAlignment="1">
      <alignment horizontal="center" vertical="top" wrapText="1"/>
    </xf>
    <xf numFmtId="0" fontId="14" fillId="0" borderId="67" xfId="0" applyFont="1" applyBorder="1" applyAlignment="1">
      <alignment horizontal="left" vertical="top" wrapText="1"/>
    </xf>
    <xf numFmtId="0" fontId="17" fillId="0" borderId="5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top" wrapText="1"/>
    </xf>
    <xf numFmtId="0" fontId="15" fillId="0" borderId="45" xfId="0" applyFont="1" applyBorder="1" applyAlignment="1">
      <alignment horizontal="center" vertical="top" wrapText="1"/>
    </xf>
    <xf numFmtId="0" fontId="15" fillId="0" borderId="67" xfId="0" applyFont="1" applyBorder="1" applyAlignment="1">
      <alignment horizontal="center" vertical="top" wrapText="1"/>
    </xf>
    <xf numFmtId="0" fontId="17" fillId="0" borderId="53" xfId="0" applyFont="1" applyBorder="1" applyAlignment="1">
      <alignment horizontal="center" vertical="top" wrapText="1"/>
    </xf>
    <xf numFmtId="0" fontId="14" fillId="0" borderId="69" xfId="0" applyFont="1" applyBorder="1" applyAlignment="1">
      <alignment horizontal="left" wrapText="1"/>
    </xf>
    <xf numFmtId="0" fontId="14" fillId="0" borderId="55" xfId="0" applyFont="1" applyBorder="1" applyAlignment="1">
      <alignment horizontal="left" wrapText="1"/>
    </xf>
    <xf numFmtId="0" fontId="17" fillId="0" borderId="48" xfId="0" applyFont="1" applyBorder="1" applyAlignment="1">
      <alignment horizontal="center" wrapText="1"/>
    </xf>
    <xf numFmtId="0" fontId="14" fillId="0" borderId="79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center" wrapText="1"/>
    </xf>
    <xf numFmtId="0" fontId="17" fillId="0" borderId="79" xfId="0" applyFont="1" applyBorder="1" applyAlignment="1">
      <alignment horizontal="center" wrapText="1"/>
    </xf>
    <xf numFmtId="0" fontId="14" fillId="0" borderId="40" xfId="0" applyFont="1" applyBorder="1" applyAlignment="1">
      <alignment horizontal="left" vertical="top" wrapText="1"/>
    </xf>
    <xf numFmtId="0" fontId="14" fillId="0" borderId="53" xfId="0" applyFont="1" applyBorder="1" applyAlignment="1">
      <alignment horizontal="left" vertical="top" wrapText="1"/>
    </xf>
    <xf numFmtId="0" fontId="17" fillId="0" borderId="53" xfId="0" applyFont="1" applyBorder="1" applyAlignment="1">
      <alignment horizontal="center" wrapText="1"/>
    </xf>
    <xf numFmtId="0" fontId="14" fillId="0" borderId="42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top" wrapText="1"/>
    </xf>
    <xf numFmtId="0" fontId="14" fillId="0" borderId="53" xfId="0" applyFont="1" applyBorder="1" applyAlignment="1">
      <alignment horizontal="center" vertical="top" wrapText="1"/>
    </xf>
    <xf numFmtId="0" fontId="13" fillId="0" borderId="48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left" vertical="top" wrapText="1"/>
    </xf>
    <xf numFmtId="0" fontId="44" fillId="0" borderId="34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54" xfId="0" applyFont="1" applyBorder="1" applyAlignment="1">
      <alignment horizontal="center" wrapText="1"/>
    </xf>
    <xf numFmtId="0" fontId="44" fillId="0" borderId="47" xfId="0" applyFont="1" applyBorder="1" applyAlignment="1">
      <alignment horizontal="center" wrapText="1"/>
    </xf>
    <xf numFmtId="0" fontId="16" fillId="0" borderId="53" xfId="0" applyFont="1" applyBorder="1" applyAlignment="1">
      <alignment horizontal="center" vertical="top" wrapText="1"/>
    </xf>
    <xf numFmtId="0" fontId="51" fillId="0" borderId="32" xfId="0" applyFont="1" applyBorder="1" applyAlignment="1">
      <alignment horizontal="left" vertical="top"/>
    </xf>
    <xf numFmtId="0" fontId="51" fillId="0" borderId="15" xfId="0" applyFont="1" applyBorder="1" applyAlignment="1">
      <alignment horizontal="left" vertical="top"/>
    </xf>
    <xf numFmtId="0" fontId="48" fillId="0" borderId="11" xfId="0" applyFont="1" applyBorder="1" applyAlignment="1">
      <alignment horizontal="center" vertical="top" wrapText="1"/>
    </xf>
    <xf numFmtId="0" fontId="48" fillId="0" borderId="79" xfId="0" applyFont="1" applyBorder="1" applyAlignment="1">
      <alignment horizontal="center" vertical="top" wrapText="1"/>
    </xf>
    <xf numFmtId="0" fontId="51" fillId="0" borderId="32" xfId="0" applyFont="1" applyBorder="1" applyAlignment="1">
      <alignment horizontal="center" vertical="top"/>
    </xf>
    <xf numFmtId="0" fontId="51" fillId="0" borderId="15" xfId="0" applyFont="1" applyBorder="1" applyAlignment="1">
      <alignment horizontal="center" vertical="top"/>
    </xf>
    <xf numFmtId="0" fontId="17" fillId="0" borderId="42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horizontal="left" vertical="top" wrapText="1"/>
    </xf>
    <xf numFmtId="0" fontId="15" fillId="0" borderId="73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54" xfId="0" applyFont="1" applyFill="1" applyBorder="1" applyAlignment="1">
      <alignment horizontal="center" vertical="top" wrapText="1"/>
    </xf>
    <xf numFmtId="0" fontId="16" fillId="0" borderId="51" xfId="0" applyFont="1" applyBorder="1" applyAlignment="1">
      <alignment horizontal="center" vertical="top" wrapText="1"/>
    </xf>
    <xf numFmtId="0" fontId="16" fillId="0" borderId="67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75" xfId="0" applyFont="1" applyFill="1" applyBorder="1" applyAlignment="1">
      <alignment horizontal="left" vertical="top" wrapText="1"/>
    </xf>
    <xf numFmtId="0" fontId="41" fillId="0" borderId="52" xfId="0" applyFont="1" applyFill="1" applyBorder="1" applyAlignment="1">
      <alignment horizontal="center" vertical="top" wrapText="1"/>
    </xf>
    <xf numFmtId="0" fontId="41" fillId="0" borderId="76" xfId="0" applyFont="1" applyFill="1" applyBorder="1" applyAlignment="1">
      <alignment horizontal="center" vertical="top" wrapText="1"/>
    </xf>
    <xf numFmtId="3" fontId="41" fillId="0" borderId="0" xfId="0" applyNumberFormat="1" applyFont="1" applyAlignment="1">
      <alignment horizontal="right"/>
    </xf>
    <xf numFmtId="0" fontId="40" fillId="0" borderId="0" xfId="0" applyFont="1" applyAlignment="1">
      <alignment horizontal="center" wrapText="1"/>
    </xf>
    <xf numFmtId="0" fontId="44" fillId="0" borderId="32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16" fillId="0" borderId="53" xfId="0" applyFont="1" applyFill="1" applyBorder="1" applyAlignment="1">
      <alignment horizontal="center" vertical="top" wrapText="1"/>
    </xf>
    <xf numFmtId="0" fontId="15" fillId="0" borderId="60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57" xfId="0" applyFont="1" applyFill="1" applyBorder="1" applyAlignment="1">
      <alignment horizontal="left" vertical="top" wrapText="1"/>
    </xf>
    <xf numFmtId="0" fontId="16" fillId="0" borderId="49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54" xfId="0" applyFont="1" applyFill="1" applyBorder="1" applyAlignment="1">
      <alignment horizontal="center" vertical="top" wrapText="1"/>
    </xf>
    <xf numFmtId="0" fontId="16" fillId="0" borderId="73" xfId="0" applyFont="1" applyBorder="1" applyAlignment="1">
      <alignment horizontal="center" vertical="top" wrapText="1"/>
    </xf>
    <xf numFmtId="0" fontId="15" fillId="0" borderId="32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0" fontId="15" fillId="0" borderId="79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79" xfId="0" applyFont="1" applyFill="1" applyBorder="1" applyAlignment="1">
      <alignment horizontal="center" vertical="top" wrapText="1"/>
    </xf>
    <xf numFmtId="0" fontId="17" fillId="0" borderId="49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wrapText="1"/>
    </xf>
    <xf numFmtId="0" fontId="15" fillId="0" borderId="3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54" xfId="0" applyFont="1" applyBorder="1" applyAlignment="1">
      <alignment horizontal="left" vertical="top" wrapText="1"/>
    </xf>
    <xf numFmtId="0" fontId="15" fillId="0" borderId="32" xfId="0" applyFont="1" applyFill="1" applyBorder="1" applyAlignment="1">
      <alignment horizontal="left" vertical="top"/>
    </xf>
    <xf numFmtId="0" fontId="15" fillId="0" borderId="15" xfId="0" applyFont="1" applyFill="1" applyBorder="1" applyAlignment="1">
      <alignment horizontal="left" vertical="top"/>
    </xf>
    <xf numFmtId="0" fontId="15" fillId="0" borderId="79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left" vertical="center" wrapText="1"/>
    </xf>
    <xf numFmtId="0" fontId="43" fillId="0" borderId="37" xfId="0" applyFont="1" applyFill="1" applyBorder="1" applyAlignment="1">
      <alignment horizontal="left" vertical="center" wrapText="1"/>
    </xf>
    <xf numFmtId="0" fontId="43" fillId="0" borderId="76" xfId="0" applyFont="1" applyFill="1" applyBorder="1" applyAlignment="1">
      <alignment horizontal="left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1" fillId="0" borderId="76" xfId="0" applyFont="1" applyFill="1" applyBorder="1" applyAlignment="1">
      <alignment horizontal="center" vertical="center" wrapText="1"/>
    </xf>
    <xf numFmtId="169" fontId="51" fillId="0" borderId="69" xfId="0" applyNumberFormat="1" applyFont="1" applyBorder="1" applyAlignment="1">
      <alignment horizontal="center" vertical="center" wrapText="1"/>
    </xf>
    <xf numFmtId="169" fontId="51" fillId="0" borderId="55" xfId="0" applyNumberFormat="1" applyFont="1" applyBorder="1" applyAlignment="1">
      <alignment horizontal="center" vertical="center" wrapText="1"/>
    </xf>
    <xf numFmtId="0" fontId="81" fillId="0" borderId="26" xfId="55" applyFont="1" applyFill="1" applyBorder="1" applyAlignment="1">
      <alignment horizontal="center" vertical="center"/>
      <protection/>
    </xf>
    <xf numFmtId="0" fontId="81" fillId="0" borderId="27" xfId="55" applyFont="1" applyFill="1" applyBorder="1" applyAlignment="1">
      <alignment horizontal="center" vertical="center"/>
      <protection/>
    </xf>
    <xf numFmtId="0" fontId="81" fillId="0" borderId="26" xfId="55" applyFont="1" applyFill="1" applyBorder="1" applyAlignment="1">
      <alignment horizontal="center" vertical="center" wrapText="1"/>
      <protection/>
    </xf>
    <xf numFmtId="0" fontId="81" fillId="0" borderId="27" xfId="55" applyFont="1" applyFill="1" applyBorder="1" applyAlignment="1">
      <alignment horizontal="center" vertical="center" wrapText="1"/>
      <protection/>
    </xf>
    <xf numFmtId="169" fontId="10" fillId="0" borderId="60" xfId="0" applyNumberFormat="1" applyFont="1" applyBorder="1" applyAlignment="1">
      <alignment horizontal="center" vertical="center" wrapText="1"/>
    </xf>
    <xf numFmtId="169" fontId="10" fillId="0" borderId="16" xfId="0" applyNumberFormat="1" applyFont="1" applyBorder="1" applyAlignment="1">
      <alignment horizontal="center" vertical="center" wrapText="1"/>
    </xf>
    <xf numFmtId="169" fontId="12" fillId="0" borderId="60" xfId="0" applyNumberFormat="1" applyFont="1" applyBorder="1" applyAlignment="1">
      <alignment horizontal="center" vertical="center" wrapText="1"/>
    </xf>
    <xf numFmtId="169" fontId="12" fillId="0" borderId="16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14" fontId="18" fillId="0" borderId="37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69" fontId="10" fillId="0" borderId="69" xfId="0" applyNumberFormat="1" applyFont="1" applyBorder="1" applyAlignment="1">
      <alignment horizontal="center" vertical="center" wrapText="1"/>
    </xf>
    <xf numFmtId="0" fontId="155" fillId="0" borderId="0" xfId="0" applyFont="1" applyAlignment="1">
      <alignment horizontal="center" vertical="top"/>
    </xf>
    <xf numFmtId="0" fontId="39" fillId="0" borderId="3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169" fontId="12" fillId="0" borderId="69" xfId="0" applyNumberFormat="1" applyFont="1" applyBorder="1" applyAlignment="1">
      <alignment horizontal="center" vertical="center" wrapText="1"/>
    </xf>
    <xf numFmtId="169" fontId="12" fillId="0" borderId="55" xfId="0" applyNumberFormat="1" applyFont="1" applyBorder="1" applyAlignment="1">
      <alignment horizontal="center" vertical="center" wrapText="1"/>
    </xf>
    <xf numFmtId="169" fontId="12" fillId="0" borderId="70" xfId="0" applyNumberFormat="1" applyFont="1" applyBorder="1" applyAlignment="1">
      <alignment horizontal="center" vertical="center" wrapText="1"/>
    </xf>
    <xf numFmtId="169" fontId="12" fillId="0" borderId="58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169" fontId="22" fillId="0" borderId="34" xfId="0" applyNumberFormat="1" applyFont="1" applyBorder="1" applyAlignment="1">
      <alignment horizontal="center"/>
    </xf>
    <xf numFmtId="169" fontId="22" fillId="0" borderId="14" xfId="0" applyNumberFormat="1" applyFont="1" applyBorder="1" applyAlignment="1">
      <alignment horizontal="center"/>
    </xf>
    <xf numFmtId="169" fontId="22" fillId="0" borderId="21" xfId="0" applyNumberFormat="1" applyFont="1" applyBorder="1" applyAlignment="1">
      <alignment horizontal="center"/>
    </xf>
    <xf numFmtId="169" fontId="22" fillId="0" borderId="20" xfId="0" applyNumberFormat="1" applyFont="1" applyBorder="1" applyAlignment="1">
      <alignment horizontal="center"/>
    </xf>
    <xf numFmtId="14" fontId="39" fillId="0" borderId="0" xfId="0" applyNumberFormat="1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2" fontId="21" fillId="0" borderId="42" xfId="0" applyNumberFormat="1" applyFont="1" applyBorder="1" applyAlignment="1">
      <alignment horizontal="center" vertical="center"/>
    </xf>
    <xf numFmtId="2" fontId="21" fillId="0" borderId="47" xfId="0" applyNumberFormat="1" applyFont="1" applyBorder="1" applyAlignment="1">
      <alignment horizontal="center" vertical="center"/>
    </xf>
    <xf numFmtId="2" fontId="21" fillId="0" borderId="44" xfId="0" applyNumberFormat="1" applyFont="1" applyBorder="1" applyAlignment="1">
      <alignment horizontal="center" vertical="center"/>
    </xf>
    <xf numFmtId="2" fontId="21" fillId="0" borderId="39" xfId="0" applyNumberFormat="1" applyFont="1" applyBorder="1" applyAlignment="1">
      <alignment horizontal="center" vertical="center"/>
    </xf>
    <xf numFmtId="2" fontId="21" fillId="0" borderId="43" xfId="0" applyNumberFormat="1" applyFont="1" applyBorder="1" applyAlignment="1">
      <alignment horizontal="center" vertical="center"/>
    </xf>
    <xf numFmtId="2" fontId="21" fillId="0" borderId="49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8" fillId="0" borderId="74" xfId="0" applyFont="1" applyFill="1" applyBorder="1" applyAlignment="1">
      <alignment horizontal="center" wrapText="1"/>
    </xf>
    <xf numFmtId="0" fontId="18" fillId="0" borderId="65" xfId="0" applyFont="1" applyFill="1" applyBorder="1" applyAlignment="1">
      <alignment horizontal="center" wrapText="1"/>
    </xf>
    <xf numFmtId="2" fontId="18" fillId="0" borderId="69" xfId="0" applyNumberFormat="1" applyFont="1" applyFill="1" applyBorder="1" applyAlignment="1">
      <alignment horizontal="center" vertical="center" wrapText="1"/>
    </xf>
    <xf numFmtId="2" fontId="18" fillId="0" borderId="55" xfId="0" applyNumberFormat="1" applyFont="1" applyFill="1" applyBorder="1" applyAlignment="1">
      <alignment horizontal="center" vertical="center" wrapText="1"/>
    </xf>
    <xf numFmtId="2" fontId="18" fillId="0" borderId="36" xfId="0" applyNumberFormat="1" applyFont="1" applyFill="1" applyBorder="1" applyAlignment="1">
      <alignment horizontal="center" vertical="center" wrapText="1"/>
    </xf>
    <xf numFmtId="2" fontId="18" fillId="0" borderId="37" xfId="0" applyNumberFormat="1" applyFont="1" applyFill="1" applyBorder="1" applyAlignment="1">
      <alignment horizontal="center" vertical="center" wrapText="1"/>
    </xf>
    <xf numFmtId="169" fontId="21" fillId="0" borderId="18" xfId="0" applyNumberFormat="1" applyFont="1" applyFill="1" applyBorder="1" applyAlignment="1">
      <alignment horizontal="center" vertical="center" wrapText="1"/>
    </xf>
    <xf numFmtId="169" fontId="21" fillId="0" borderId="19" xfId="0" applyNumberFormat="1" applyFont="1" applyFill="1" applyBorder="1" applyAlignment="1">
      <alignment horizontal="center" vertical="center" wrapText="1"/>
    </xf>
    <xf numFmtId="169" fontId="21" fillId="0" borderId="42" xfId="0" applyNumberFormat="1" applyFont="1" applyFill="1" applyBorder="1" applyAlignment="1">
      <alignment horizontal="center" vertical="center" wrapText="1"/>
    </xf>
    <xf numFmtId="169" fontId="21" fillId="0" borderId="47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169" fontId="10" fillId="0" borderId="28" xfId="0" applyNumberFormat="1" applyFont="1" applyBorder="1" applyAlignment="1">
      <alignment horizontal="center" vertical="center" wrapText="1"/>
    </xf>
    <xf numFmtId="169" fontId="10" fillId="0" borderId="45" xfId="0" applyNumberFormat="1" applyFont="1" applyBorder="1" applyAlignment="1">
      <alignment horizontal="center" vertical="center" wrapText="1"/>
    </xf>
    <xf numFmtId="169" fontId="10" fillId="0" borderId="34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 horizontal="center" vertical="center" wrapText="1"/>
    </xf>
    <xf numFmtId="169" fontId="10" fillId="0" borderId="70" xfId="0" applyNumberFormat="1" applyFont="1" applyBorder="1" applyAlignment="1">
      <alignment horizontal="center" vertical="center" wrapText="1"/>
    </xf>
    <xf numFmtId="169" fontId="10" fillId="0" borderId="58" xfId="0" applyNumberFormat="1" applyFont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169" fontId="10" fillId="0" borderId="17" xfId="0" applyNumberFormat="1" applyFont="1" applyBorder="1" applyAlignment="1">
      <alignment horizontal="center" vertical="center" wrapText="1"/>
    </xf>
    <xf numFmtId="169" fontId="10" fillId="0" borderId="22" xfId="0" applyNumberFormat="1" applyFont="1" applyBorder="1" applyAlignment="1">
      <alignment horizontal="center" vertical="center" wrapText="1"/>
    </xf>
    <xf numFmtId="2" fontId="21" fillId="0" borderId="64" xfId="0" applyNumberFormat="1" applyFont="1" applyBorder="1" applyAlignment="1">
      <alignment horizontal="center" vertical="center"/>
    </xf>
    <xf numFmtId="2" fontId="21" fillId="0" borderId="38" xfId="0" applyNumberFormat="1" applyFont="1" applyBorder="1" applyAlignment="1">
      <alignment horizontal="center" vertical="center"/>
    </xf>
    <xf numFmtId="2" fontId="21" fillId="0" borderId="78" xfId="0" applyNumberFormat="1" applyFont="1" applyFill="1" applyBorder="1" applyAlignment="1">
      <alignment horizontal="center" vertical="center" wrapText="1"/>
    </xf>
    <xf numFmtId="2" fontId="21" fillId="33" borderId="45" xfId="0" applyNumberFormat="1" applyFont="1" applyFill="1" applyBorder="1" applyAlignment="1">
      <alignment horizontal="center" wrapText="1"/>
    </xf>
    <xf numFmtId="169" fontId="22" fillId="0" borderId="14" xfId="0" applyNumberFormat="1" applyFont="1" applyFill="1" applyBorder="1" applyAlignment="1">
      <alignment horizontal="center" wrapText="1"/>
    </xf>
    <xf numFmtId="169" fontId="22" fillId="0" borderId="37" xfId="0" applyNumberFormat="1" applyFont="1" applyFill="1" applyBorder="1" applyAlignment="1">
      <alignment horizontal="center" wrapText="1"/>
    </xf>
    <xf numFmtId="2" fontId="22" fillId="0" borderId="55" xfId="0" applyNumberFormat="1" applyFont="1" applyFill="1" applyBorder="1" applyAlignment="1">
      <alignment horizontal="center" wrapText="1"/>
    </xf>
    <xf numFmtId="2" fontId="134" fillId="0" borderId="45" xfId="0" applyNumberFormat="1" applyFont="1" applyFill="1" applyBorder="1" applyAlignment="1">
      <alignment horizontal="center" wrapText="1"/>
    </xf>
    <xf numFmtId="2" fontId="22" fillId="38" borderId="16" xfId="0" applyNumberFormat="1" applyFont="1" applyFill="1" applyBorder="1" applyAlignment="1">
      <alignment horizontal="center" wrapText="1"/>
    </xf>
    <xf numFmtId="2" fontId="22" fillId="0" borderId="16" xfId="0" applyNumberFormat="1" applyFont="1" applyFill="1" applyBorder="1" applyAlignment="1">
      <alignment horizontal="center" wrapText="1"/>
    </xf>
    <xf numFmtId="2" fontId="134" fillId="0" borderId="15" xfId="0" applyNumberFormat="1" applyFont="1" applyFill="1" applyBorder="1" applyAlignment="1">
      <alignment horizontal="center" wrapText="1"/>
    </xf>
    <xf numFmtId="2" fontId="22" fillId="0" borderId="55" xfId="56" applyNumberFormat="1" applyFont="1" applyFill="1" applyBorder="1" applyAlignment="1">
      <alignment horizontal="center" wrapText="1"/>
      <protection/>
    </xf>
    <xf numFmtId="2" fontId="22" fillId="0" borderId="15" xfId="56" applyNumberFormat="1" applyFont="1" applyFill="1" applyBorder="1" applyAlignment="1">
      <alignment horizontal="center" wrapText="1"/>
      <protection/>
    </xf>
    <xf numFmtId="2" fontId="22" fillId="0" borderId="14" xfId="56" applyNumberFormat="1" applyFont="1" applyFill="1" applyBorder="1" applyAlignment="1">
      <alignment horizontal="center" wrapText="1"/>
      <protection/>
    </xf>
    <xf numFmtId="2" fontId="22" fillId="0" borderId="14" xfId="0" applyNumberFormat="1" applyFont="1" applyFill="1" applyBorder="1" applyAlignment="1">
      <alignment horizontal="center"/>
    </xf>
    <xf numFmtId="2" fontId="22" fillId="0" borderId="45" xfId="0" applyNumberFormat="1" applyFont="1" applyFill="1" applyBorder="1" applyAlignment="1">
      <alignment horizontal="center" wrapText="1"/>
    </xf>
    <xf numFmtId="2" fontId="22" fillId="0" borderId="20" xfId="56" applyNumberFormat="1" applyFont="1" applyFill="1" applyBorder="1" applyAlignment="1">
      <alignment horizontal="center" wrapText="1"/>
      <protection/>
    </xf>
    <xf numFmtId="2" fontId="22" fillId="0" borderId="16" xfId="56" applyNumberFormat="1" applyFont="1" applyFill="1" applyBorder="1" applyAlignment="1">
      <alignment horizontal="center" wrapText="1"/>
      <protection/>
    </xf>
    <xf numFmtId="2" fontId="134" fillId="0" borderId="2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69" fontId="22" fillId="0" borderId="0" xfId="0" applyNumberFormat="1" applyFont="1" applyFill="1" applyBorder="1" applyAlignment="1">
      <alignment horizontal="center" wrapText="1"/>
    </xf>
    <xf numFmtId="1" fontId="149" fillId="0" borderId="0" xfId="0" applyNumberFormat="1" applyFont="1" applyFill="1" applyBorder="1" applyAlignment="1">
      <alignment horizontal="center" wrapText="1"/>
    </xf>
    <xf numFmtId="1" fontId="134" fillId="0" borderId="0" xfId="0" applyNumberFormat="1" applyFont="1" applyFill="1" applyBorder="1" applyAlignment="1">
      <alignment horizontal="center" wrapText="1"/>
    </xf>
    <xf numFmtId="2" fontId="134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1" fontId="149" fillId="0" borderId="0" xfId="56" applyNumberFormat="1" applyFont="1" applyFill="1" applyBorder="1" applyAlignment="1">
      <alignment horizontal="center" wrapText="1"/>
      <protection/>
    </xf>
    <xf numFmtId="2" fontId="134" fillId="0" borderId="0" xfId="0" applyNumberFormat="1" applyFont="1" applyFill="1" applyBorder="1" applyAlignment="1">
      <alignment horizontal="center"/>
    </xf>
    <xf numFmtId="2" fontId="22" fillId="0" borderId="0" xfId="56" applyNumberFormat="1" applyFont="1" applyFill="1" applyBorder="1" applyAlignment="1">
      <alignment horizontal="center" wrapText="1"/>
      <protection/>
    </xf>
    <xf numFmtId="2" fontId="22" fillId="0" borderId="0" xfId="0" applyNumberFormat="1" applyFont="1" applyFill="1" applyBorder="1" applyAlignment="1">
      <alignment horizontal="center"/>
    </xf>
    <xf numFmtId="1" fontId="22" fillId="0" borderId="0" xfId="56" applyNumberFormat="1" applyFont="1" applyFill="1" applyBorder="1" applyAlignment="1">
      <alignment horizontal="center" wrapText="1"/>
      <protection/>
    </xf>
    <xf numFmtId="0" fontId="134" fillId="0" borderId="0" xfId="0" applyFont="1" applyFill="1" applyBorder="1" applyAlignment="1">
      <alignment horizontal="center" wrapText="1"/>
    </xf>
    <xf numFmtId="0" fontId="21" fillId="0" borderId="78" xfId="0" applyFont="1" applyFill="1" applyBorder="1" applyAlignment="1">
      <alignment horizontal="center" vertical="center" wrapText="1"/>
    </xf>
    <xf numFmtId="1" fontId="21" fillId="0" borderId="78" xfId="0" applyNumberFormat="1" applyFont="1" applyFill="1" applyBorder="1" applyAlignment="1">
      <alignment horizontal="center" wrapText="1"/>
    </xf>
    <xf numFmtId="1" fontId="12" fillId="0" borderId="78" xfId="0" applyNumberFormat="1" applyFont="1" applyFill="1" applyBorder="1" applyAlignment="1">
      <alignment horizontal="center" wrapText="1"/>
    </xf>
    <xf numFmtId="1" fontId="149" fillId="0" borderId="78" xfId="0" applyNumberFormat="1" applyFont="1" applyFill="1" applyBorder="1" applyAlignment="1">
      <alignment horizontal="center" wrapText="1"/>
    </xf>
    <xf numFmtId="0" fontId="21" fillId="33" borderId="5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1" fillId="33" borderId="0" xfId="0" applyFont="1" applyFill="1" applyBorder="1" applyAlignment="1">
      <alignment horizontal="center" vertical="center" wrapText="1"/>
    </xf>
    <xf numFmtId="1" fontId="21" fillId="33" borderId="36" xfId="0" applyNumberFormat="1" applyFont="1" applyFill="1" applyBorder="1" applyAlignment="1">
      <alignment horizontal="center" wrapText="1"/>
    </xf>
    <xf numFmtId="1" fontId="21" fillId="33" borderId="37" xfId="0" applyNumberFormat="1" applyFont="1" applyFill="1" applyBorder="1" applyAlignment="1">
      <alignment horizontal="center" wrapText="1"/>
    </xf>
    <xf numFmtId="2" fontId="21" fillId="33" borderId="37" xfId="0" applyNumberFormat="1" applyFont="1" applyFill="1" applyBorder="1" applyAlignment="1">
      <alignment horizont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69" xfId="0" applyFont="1" applyFill="1" applyBorder="1" applyAlignment="1">
      <alignment horizontal="center" vertical="center" wrapText="1"/>
    </xf>
    <xf numFmtId="0" fontId="21" fillId="39" borderId="55" xfId="0" applyFont="1" applyFill="1" applyBorder="1" applyAlignment="1">
      <alignment horizontal="center" vertical="center" wrapText="1"/>
    </xf>
    <xf numFmtId="0" fontId="21" fillId="39" borderId="74" xfId="0" applyFont="1" applyFill="1" applyBorder="1" applyAlignment="1">
      <alignment horizontal="center" vertical="center" wrapText="1"/>
    </xf>
    <xf numFmtId="0" fontId="21" fillId="39" borderId="37" xfId="0" applyFont="1" applyFill="1" applyBorder="1" applyAlignment="1">
      <alignment horizontal="center" vertical="center" wrapText="1"/>
    </xf>
    <xf numFmtId="0" fontId="21" fillId="39" borderId="65" xfId="0" applyFont="1" applyFill="1" applyBorder="1" applyAlignment="1">
      <alignment horizontal="center" vertical="center" wrapText="1"/>
    </xf>
    <xf numFmtId="2" fontId="10" fillId="33" borderId="2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wrapText="1"/>
    </xf>
    <xf numFmtId="1" fontId="10" fillId="0" borderId="78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2" fontId="12" fillId="0" borderId="16" xfId="56" applyNumberFormat="1" applyFont="1" applyFill="1" applyBorder="1" applyAlignment="1">
      <alignment horizontal="center" wrapText="1"/>
      <protection/>
    </xf>
    <xf numFmtId="165" fontId="12" fillId="0" borderId="0" xfId="56" applyNumberFormat="1" applyFont="1" applyFill="1" applyBorder="1" applyAlignment="1">
      <alignment horizontal="center" wrapText="1"/>
      <protection/>
    </xf>
    <xf numFmtId="1" fontId="12" fillId="0" borderId="0" xfId="56" applyNumberFormat="1" applyFont="1" applyFill="1" applyBorder="1" applyAlignment="1">
      <alignment horizontal="center" wrapText="1"/>
      <protection/>
    </xf>
    <xf numFmtId="2" fontId="12" fillId="0" borderId="0" xfId="56" applyNumberFormat="1" applyFont="1" applyFill="1" applyBorder="1" applyAlignment="1">
      <alignment horizontal="center" wrapText="1"/>
      <protection/>
    </xf>
    <xf numFmtId="165" fontId="12" fillId="0" borderId="0" xfId="0" applyNumberFormat="1" applyFont="1" applyFill="1" applyBorder="1" applyAlignment="1">
      <alignment horizontal="center" wrapText="1"/>
    </xf>
    <xf numFmtId="165" fontId="12" fillId="0" borderId="78" xfId="56" applyNumberFormat="1" applyFont="1" applyFill="1" applyBorder="1" applyAlignment="1">
      <alignment horizontal="center" wrapText="1"/>
      <protection/>
    </xf>
    <xf numFmtId="165" fontId="12" fillId="0" borderId="78" xfId="0" applyNumberFormat="1" applyFont="1" applyFill="1" applyBorder="1" applyAlignment="1">
      <alignment horizontal="center" wrapText="1"/>
    </xf>
    <xf numFmtId="2" fontId="12" fillId="35" borderId="55" xfId="56" applyNumberFormat="1" applyFont="1" applyFill="1" applyBorder="1" applyAlignment="1">
      <alignment horizontal="center" wrapText="1"/>
      <protection/>
    </xf>
    <xf numFmtId="4" fontId="22" fillId="0" borderId="37" xfId="0" applyNumberFormat="1" applyFont="1" applyFill="1" applyBorder="1" applyAlignment="1">
      <alignment horizontal="center"/>
    </xf>
    <xf numFmtId="0" fontId="12" fillId="0" borderId="0" xfId="56" applyFont="1" applyFill="1" applyBorder="1" applyAlignment="1">
      <alignment horizontal="center" wrapText="1"/>
      <protection/>
    </xf>
    <xf numFmtId="4" fontId="2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78" xfId="56" applyFont="1" applyFill="1" applyBorder="1" applyAlignment="1">
      <alignment horizontal="center" wrapText="1"/>
      <protection/>
    </xf>
    <xf numFmtId="0" fontId="4" fillId="0" borderId="78" xfId="0" applyFont="1" applyFill="1" applyBorder="1" applyAlignment="1">
      <alignment horizontal="center"/>
    </xf>
    <xf numFmtId="0" fontId="12" fillId="35" borderId="61" xfId="0" applyFont="1" applyFill="1" applyBorder="1" applyAlignment="1">
      <alignment horizontal="center" wrapText="1"/>
    </xf>
    <xf numFmtId="2" fontId="12" fillId="35" borderId="20" xfId="0" applyNumberFormat="1" applyFont="1" applyFill="1" applyBorder="1" applyAlignment="1">
      <alignment horizontal="center" wrapText="1"/>
    </xf>
    <xf numFmtId="165" fontId="20" fillId="0" borderId="14" xfId="0" applyNumberFormat="1" applyFont="1" applyFill="1" applyBorder="1" applyAlignment="1">
      <alignment horizontal="center" wrapText="1"/>
    </xf>
    <xf numFmtId="165" fontId="20" fillId="0" borderId="0" xfId="0" applyNumberFormat="1" applyFont="1" applyFill="1" applyBorder="1" applyAlignment="1">
      <alignment horizontal="center" wrapText="1"/>
    </xf>
    <xf numFmtId="165" fontId="20" fillId="0" borderId="15" xfId="0" applyNumberFormat="1" applyFont="1" applyFill="1" applyBorder="1" applyAlignment="1">
      <alignment horizontal="center" wrapText="1"/>
    </xf>
    <xf numFmtId="165" fontId="20" fillId="0" borderId="15" xfId="0" applyNumberFormat="1" applyFont="1" applyFill="1" applyBorder="1" applyAlignment="1">
      <alignment horizontal="center"/>
    </xf>
    <xf numFmtId="165" fontId="20" fillId="0" borderId="15" xfId="0" applyNumberFormat="1" applyFont="1" applyBorder="1" applyAlignment="1">
      <alignment horizontal="center"/>
    </xf>
    <xf numFmtId="165" fontId="20" fillId="0" borderId="37" xfId="0" applyNumberFormat="1" applyFont="1" applyBorder="1" applyAlignment="1">
      <alignment horizontal="center"/>
    </xf>
    <xf numFmtId="165" fontId="20" fillId="0" borderId="14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165" fontId="20" fillId="0" borderId="0" xfId="0" applyNumberFormat="1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 wrapText="1"/>
    </xf>
    <xf numFmtId="0" fontId="12" fillId="0" borderId="78" xfId="0" applyFont="1" applyFill="1" applyBorder="1" applyAlignment="1">
      <alignment horizontal="center" wrapText="1"/>
    </xf>
    <xf numFmtId="0" fontId="22" fillId="0" borderId="78" xfId="0" applyFont="1" applyFill="1" applyBorder="1" applyAlignment="1">
      <alignment horizontal="center"/>
    </xf>
    <xf numFmtId="2" fontId="51" fillId="35" borderId="20" xfId="0" applyNumberFormat="1" applyFont="1" applyFill="1" applyBorder="1" applyAlignment="1">
      <alignment horizontal="center" wrapText="1"/>
    </xf>
    <xf numFmtId="165" fontId="20" fillId="0" borderId="55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141" fillId="0" borderId="15" xfId="0" applyNumberFormat="1" applyFont="1" applyBorder="1" applyAlignment="1">
      <alignment horizontal="center"/>
    </xf>
    <xf numFmtId="165" fontId="141" fillId="0" borderId="16" xfId="0" applyNumberFormat="1" applyFont="1" applyBorder="1" applyAlignment="1">
      <alignment horizontal="center"/>
    </xf>
    <xf numFmtId="165" fontId="141" fillId="0" borderId="37" xfId="0" applyNumberFormat="1" applyFont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1" fontId="51" fillId="0" borderId="0" xfId="0" applyNumberFormat="1" applyFont="1" applyFill="1" applyBorder="1" applyAlignment="1">
      <alignment horizontal="center" wrapText="1"/>
    </xf>
    <xf numFmtId="2" fontId="51" fillId="0" borderId="0" xfId="0" applyNumberFormat="1" applyFont="1" applyFill="1" applyBorder="1" applyAlignment="1">
      <alignment horizontal="center" wrapText="1"/>
    </xf>
    <xf numFmtId="1" fontId="135" fillId="0" borderId="0" xfId="0" applyNumberFormat="1" applyFont="1" applyFill="1" applyBorder="1" applyAlignment="1">
      <alignment horizontal="center" wrapText="1"/>
    </xf>
    <xf numFmtId="0" fontId="141" fillId="0" borderId="0" xfId="0" applyFont="1" applyFill="1" applyBorder="1" applyAlignment="1">
      <alignment horizontal="center" wrapText="1"/>
    </xf>
    <xf numFmtId="165" fontId="141" fillId="0" borderId="0" xfId="0" applyNumberFormat="1" applyFont="1" applyFill="1" applyBorder="1" applyAlignment="1">
      <alignment horizontal="center"/>
    </xf>
    <xf numFmtId="1" fontId="141" fillId="0" borderId="0" xfId="0" applyNumberFormat="1" applyFont="1" applyFill="1" applyBorder="1" applyAlignment="1">
      <alignment horizontal="center" wrapText="1"/>
    </xf>
    <xf numFmtId="0" fontId="51" fillId="0" borderId="78" xfId="0" applyFont="1" applyFill="1" applyBorder="1" applyAlignment="1">
      <alignment horizontal="center" wrapText="1"/>
    </xf>
    <xf numFmtId="1" fontId="135" fillId="0" borderId="78" xfId="0" applyNumberFormat="1" applyFont="1" applyFill="1" applyBorder="1" applyAlignment="1">
      <alignment horizontal="center" wrapText="1"/>
    </xf>
    <xf numFmtId="0" fontId="51" fillId="35" borderId="61" xfId="0" applyFont="1" applyFill="1" applyBorder="1" applyAlignment="1">
      <alignment horizontal="center" wrapText="1"/>
    </xf>
    <xf numFmtId="2" fontId="20" fillId="0" borderId="55" xfId="0" applyNumberFormat="1" applyFont="1" applyFill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wrapText="1"/>
    </xf>
    <xf numFmtId="2" fontId="20" fillId="0" borderId="37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51" fillId="0" borderId="78" xfId="0" applyFont="1" applyFill="1" applyBorder="1" applyAlignment="1">
      <alignment horizontal="center" wrapText="1"/>
    </xf>
    <xf numFmtId="1" fontId="51" fillId="0" borderId="78" xfId="0" applyNumberFormat="1" applyFont="1" applyFill="1" applyBorder="1" applyAlignment="1">
      <alignment horizontal="center" wrapText="1"/>
    </xf>
    <xf numFmtId="0" fontId="109" fillId="0" borderId="0" xfId="0" applyFont="1" applyBorder="1" applyAlignment="1">
      <alignment/>
    </xf>
    <xf numFmtId="0" fontId="109" fillId="0" borderId="2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3" fillId="0" borderId="0" xfId="42" applyFont="1" applyFill="1" applyAlignment="1" applyProtection="1">
      <alignment horizontal="left"/>
      <protection/>
    </xf>
    <xf numFmtId="0" fontId="12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108" fillId="0" borderId="0" xfId="0" applyFont="1" applyBorder="1" applyAlignment="1">
      <alignment/>
    </xf>
    <xf numFmtId="0" fontId="50" fillId="0" borderId="0" xfId="0" applyFont="1" applyAlignment="1">
      <alignment vertical="center"/>
    </xf>
    <xf numFmtId="0" fontId="50" fillId="0" borderId="0" xfId="56" applyFont="1" applyFill="1" applyAlignment="1">
      <alignment/>
      <protection/>
    </xf>
    <xf numFmtId="0" fontId="50" fillId="0" borderId="37" xfId="56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52" fillId="0" borderId="0" xfId="54" applyFont="1" applyAlignment="1">
      <alignment horizontal="center" vertical="center" wrapText="1"/>
      <protection/>
    </xf>
    <xf numFmtId="169" fontId="0" fillId="0" borderId="0" xfId="0" applyNumberFormat="1" applyFont="1" applyFill="1" applyAlignment="1">
      <alignment/>
    </xf>
    <xf numFmtId="169" fontId="1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9" fontId="23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 wrapText="1"/>
    </xf>
    <xf numFmtId="2" fontId="12" fillId="0" borderId="37" xfId="0" applyNumberFormat="1" applyFont="1" applyFill="1" applyBorder="1" applyAlignment="1">
      <alignment horizontal="center" vertical="center" wrapText="1"/>
    </xf>
    <xf numFmtId="2" fontId="12" fillId="0" borderId="55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37" xfId="0" applyNumberFormat="1" applyFont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2" fontId="22" fillId="0" borderId="7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3" fillId="5" borderId="60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86" xfId="0" applyFont="1" applyFill="1" applyBorder="1" applyAlignment="1">
      <alignment horizontal="center" vertical="center" wrapText="1"/>
    </xf>
    <xf numFmtId="0" fontId="23" fillId="5" borderId="57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wrapText="1"/>
    </xf>
    <xf numFmtId="0" fontId="31" fillId="0" borderId="0" xfId="0" applyNumberFormat="1" applyFont="1" applyFill="1" applyBorder="1" applyAlignment="1">
      <alignment wrapText="1"/>
    </xf>
    <xf numFmtId="0" fontId="29" fillId="0" borderId="0" xfId="0" applyFont="1" applyAlignment="1">
      <alignment/>
    </xf>
    <xf numFmtId="2" fontId="12" fillId="0" borderId="15" xfId="0" applyNumberFormat="1" applyFont="1" applyBorder="1" applyAlignment="1">
      <alignment horizontal="center" vertical="center"/>
    </xf>
    <xf numFmtId="2" fontId="12" fillId="0" borderId="45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12" fillId="0" borderId="37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/>
    </xf>
    <xf numFmtId="2" fontId="10" fillId="5" borderId="37" xfId="0" applyNumberFormat="1" applyFont="1" applyFill="1" applyBorder="1" applyAlignment="1">
      <alignment horizontal="center" vertical="center" wrapText="1"/>
    </xf>
    <xf numFmtId="2" fontId="22" fillId="0" borderId="15" xfId="55" applyNumberFormat="1" applyFont="1" applyBorder="1" applyAlignment="1">
      <alignment horizontal="center" wrapText="1"/>
      <protection/>
    </xf>
    <xf numFmtId="2" fontId="22" fillId="0" borderId="37" xfId="55" applyNumberFormat="1" applyFont="1" applyBorder="1" applyAlignment="1">
      <alignment horizontal="center" wrapText="1"/>
      <protection/>
    </xf>
    <xf numFmtId="0" fontId="31" fillId="0" borderId="0" xfId="0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1" fontId="22" fillId="0" borderId="0" xfId="55" applyNumberFormat="1" applyFont="1" applyFill="1" applyBorder="1" applyAlignment="1">
      <alignment horizontal="center" wrapText="1"/>
      <protection/>
    </xf>
    <xf numFmtId="2" fontId="22" fillId="0" borderId="0" xfId="55" applyNumberFormat="1" applyFont="1" applyFill="1" applyBorder="1" applyAlignment="1">
      <alignment horizontal="center" wrapText="1"/>
      <protection/>
    </xf>
    <xf numFmtId="0" fontId="31" fillId="0" borderId="0" xfId="0" applyFont="1" applyAlignment="1">
      <alignment vertical="center"/>
    </xf>
    <xf numFmtId="2" fontId="21" fillId="5" borderId="20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0" borderId="45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/>
    </xf>
    <xf numFmtId="1" fontId="21" fillId="0" borderId="78" xfId="0" applyNumberFormat="1" applyFont="1" applyFill="1" applyBorder="1" applyAlignment="1">
      <alignment horizontal="center" vertical="center" wrapText="1"/>
    </xf>
    <xf numFmtId="1" fontId="12" fillId="0" borderId="78" xfId="0" applyNumberFormat="1" applyFont="1" applyFill="1" applyBorder="1" applyAlignment="1">
      <alignment horizontal="center" vertical="center" wrapText="1"/>
    </xf>
    <xf numFmtId="0" fontId="9" fillId="5" borderId="61" xfId="0" applyFont="1" applyFill="1" applyBorder="1" applyAlignment="1">
      <alignment horizontal="center" wrapText="1"/>
    </xf>
    <xf numFmtId="2" fontId="12" fillId="0" borderId="14" xfId="0" applyNumberFormat="1" applyFont="1" applyBorder="1" applyAlignment="1">
      <alignment horizontal="center" wrapText="1"/>
    </xf>
    <xf numFmtId="2" fontId="12" fillId="0" borderId="15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2" fontId="12" fillId="0" borderId="0" xfId="63" applyNumberFormat="1" applyFont="1" applyFill="1" applyBorder="1" applyAlignment="1">
      <alignment horizontal="center" wrapText="1"/>
    </xf>
    <xf numFmtId="2" fontId="12" fillId="0" borderId="78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169" fontId="1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 wrapText="1"/>
    </xf>
    <xf numFmtId="0" fontId="82" fillId="0" borderId="0" xfId="0" applyFont="1" applyFill="1" applyAlignment="1">
      <alignment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112" fillId="0" borderId="0" xfId="54" applyFont="1" applyAlignment="1">
      <alignment horizontal="center" vertical="center" wrapText="1"/>
      <protection/>
    </xf>
    <xf numFmtId="2" fontId="6" fillId="5" borderId="45" xfId="0" applyNumberFormat="1" applyFont="1" applyFill="1" applyBorder="1" applyAlignment="1">
      <alignment horizontal="center" wrapText="1"/>
    </xf>
    <xf numFmtId="2" fontId="9" fillId="0" borderId="55" xfId="0" applyNumberFormat="1" applyFont="1" applyFill="1" applyBorder="1" applyAlignment="1">
      <alignment horizontal="center" wrapText="1"/>
    </xf>
    <xf numFmtId="2" fontId="9" fillId="0" borderId="15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center" wrapText="1"/>
    </xf>
    <xf numFmtId="2" fontId="9" fillId="0" borderId="37" xfId="0" applyNumberFormat="1" applyFont="1" applyBorder="1" applyAlignment="1">
      <alignment horizontal="center" wrapText="1"/>
    </xf>
    <xf numFmtId="2" fontId="9" fillId="0" borderId="55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 wrapText="1"/>
    </xf>
    <xf numFmtId="2" fontId="9" fillId="0" borderId="14" xfId="55" applyNumberFormat="1" applyFont="1" applyBorder="1" applyAlignment="1">
      <alignment horizontal="center" wrapText="1"/>
      <protection/>
    </xf>
    <xf numFmtId="2" fontId="9" fillId="0" borderId="15" xfId="55" applyNumberFormat="1" applyFont="1" applyBorder="1" applyAlignment="1">
      <alignment horizontal="center" wrapText="1"/>
      <protection/>
    </xf>
    <xf numFmtId="2" fontId="9" fillId="0" borderId="37" xfId="55" applyNumberFormat="1" applyFont="1" applyBorder="1" applyAlignment="1">
      <alignment horizontal="center" wrapText="1"/>
      <protection/>
    </xf>
    <xf numFmtId="2" fontId="9" fillId="0" borderId="37" xfId="55" applyNumberFormat="1" applyFont="1" applyFill="1" applyBorder="1" applyAlignment="1">
      <alignment horizontal="center" wrapText="1"/>
      <protection/>
    </xf>
    <xf numFmtId="2" fontId="10" fillId="0" borderId="14" xfId="55" applyNumberFormat="1" applyFont="1" applyFill="1" applyBorder="1" applyAlignment="1">
      <alignment horizontal="center" wrapText="1"/>
      <protection/>
    </xf>
    <xf numFmtId="2" fontId="10" fillId="0" borderId="15" xfId="55" applyNumberFormat="1" applyFont="1" applyFill="1" applyBorder="1" applyAlignment="1">
      <alignment horizontal="center" wrapText="1"/>
      <protection/>
    </xf>
    <xf numFmtId="2" fontId="10" fillId="0" borderId="37" xfId="55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9" fillId="0" borderId="0" xfId="55" applyNumberFormat="1" applyFont="1" applyFill="1" applyBorder="1" applyAlignment="1">
      <alignment horizontal="center" wrapText="1"/>
      <protection/>
    </xf>
    <xf numFmtId="1" fontId="9" fillId="0" borderId="0" xfId="55" applyNumberFormat="1" applyFont="1" applyFill="1" applyBorder="1" applyAlignment="1">
      <alignment horizontal="center" wrapText="1"/>
      <protection/>
    </xf>
    <xf numFmtId="1" fontId="10" fillId="0" borderId="0" xfId="55" applyNumberFormat="1" applyFont="1" applyFill="1" applyBorder="1" applyAlignment="1">
      <alignment horizontal="center" wrapText="1"/>
      <protection/>
    </xf>
    <xf numFmtId="2" fontId="10" fillId="0" borderId="0" xfId="55" applyNumberFormat="1" applyFont="1" applyFill="1" applyBorder="1" applyAlignment="1">
      <alignment horizontal="center" wrapText="1"/>
      <protection/>
    </xf>
    <xf numFmtId="0" fontId="2" fillId="0" borderId="78" xfId="0" applyFont="1" applyFill="1" applyBorder="1" applyAlignment="1">
      <alignment wrapText="1"/>
    </xf>
    <xf numFmtId="0" fontId="8" fillId="0" borderId="78" xfId="0" applyFont="1" applyFill="1" applyBorder="1" applyAlignment="1">
      <alignment horizontal="center" wrapText="1"/>
    </xf>
    <xf numFmtId="1" fontId="6" fillId="0" borderId="78" xfId="0" applyNumberFormat="1" applyFont="1" applyFill="1" applyBorder="1" applyAlignment="1">
      <alignment horizontal="center" wrapText="1"/>
    </xf>
    <xf numFmtId="0" fontId="2" fillId="5" borderId="69" xfId="0" applyFont="1" applyFill="1" applyBorder="1" applyAlignment="1">
      <alignment horizontal="center" wrapText="1"/>
    </xf>
    <xf numFmtId="0" fontId="2" fillId="5" borderId="55" xfId="0" applyFont="1" applyFill="1" applyBorder="1" applyAlignment="1">
      <alignment horizontal="center" wrapText="1"/>
    </xf>
    <xf numFmtId="0" fontId="2" fillId="5" borderId="86" xfId="0" applyFont="1" applyFill="1" applyBorder="1" applyAlignment="1">
      <alignment horizontal="center" wrapText="1"/>
    </xf>
    <xf numFmtId="0" fontId="2" fillId="5" borderId="60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57" xfId="0" applyFont="1" applyFill="1" applyBorder="1" applyAlignment="1">
      <alignment horizontal="center" wrapText="1"/>
    </xf>
    <xf numFmtId="2" fontId="51" fillId="5" borderId="20" xfId="0" applyNumberFormat="1" applyFont="1" applyFill="1" applyBorder="1" applyAlignment="1">
      <alignment horizontal="center" wrapText="1"/>
    </xf>
    <xf numFmtId="165" fontId="9" fillId="0" borderId="14" xfId="0" applyNumberFormat="1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center" wrapText="1"/>
    </xf>
    <xf numFmtId="165" fontId="9" fillId="0" borderId="15" xfId="0" applyNumberFormat="1" applyFont="1" applyFill="1" applyBorder="1" applyAlignment="1">
      <alignment horizontal="center" wrapText="1"/>
    </xf>
    <xf numFmtId="165" fontId="9" fillId="0" borderId="15" xfId="0" applyNumberFormat="1" applyFont="1" applyFill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5" fontId="9" fillId="0" borderId="37" xfId="0" applyNumberFormat="1" applyFont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165" fontId="21" fillId="0" borderId="37" xfId="0" applyNumberFormat="1" applyFont="1" applyBorder="1" applyAlignment="1">
      <alignment horizontal="center"/>
    </xf>
    <xf numFmtId="2" fontId="10" fillId="5" borderId="37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78" xfId="0" applyFont="1" applyFill="1" applyBorder="1" applyAlignment="1">
      <alignment wrapText="1"/>
    </xf>
    <xf numFmtId="0" fontId="19" fillId="0" borderId="78" xfId="0" applyFont="1" applyFill="1" applyBorder="1" applyAlignment="1">
      <alignment horizontal="center" wrapText="1"/>
    </xf>
    <xf numFmtId="0" fontId="7" fillId="0" borderId="78" xfId="0" applyFont="1" applyFill="1" applyBorder="1" applyAlignment="1">
      <alignment horizontal="center" wrapText="1"/>
    </xf>
    <xf numFmtId="165" fontId="10" fillId="0" borderId="78" xfId="0" applyNumberFormat="1" applyFont="1" applyFill="1" applyBorder="1" applyAlignment="1">
      <alignment horizontal="center" wrapText="1"/>
    </xf>
    <xf numFmtId="0" fontId="0" fillId="0" borderId="78" xfId="0" applyFont="1" applyFill="1" applyBorder="1" applyAlignment="1">
      <alignment/>
    </xf>
    <xf numFmtId="1" fontId="23" fillId="0" borderId="78" xfId="0" applyNumberFormat="1" applyFont="1" applyFill="1" applyBorder="1" applyAlignment="1">
      <alignment horizontal="center"/>
    </xf>
    <xf numFmtId="165" fontId="21" fillId="0" borderId="78" xfId="0" applyNumberFormat="1" applyFont="1" applyFill="1" applyBorder="1" applyAlignment="1">
      <alignment horizontal="center"/>
    </xf>
    <xf numFmtId="0" fontId="11" fillId="0" borderId="78" xfId="0" applyFont="1" applyFill="1" applyBorder="1" applyAlignment="1">
      <alignment/>
    </xf>
    <xf numFmtId="0" fontId="0" fillId="5" borderId="55" xfId="0" applyFont="1" applyFill="1" applyBorder="1" applyAlignment="1">
      <alignment horizontal="center" wrapText="1"/>
    </xf>
    <xf numFmtId="0" fontId="0" fillId="5" borderId="86" xfId="0" applyFont="1" applyFill="1" applyBorder="1" applyAlignment="1">
      <alignment horizontal="center" wrapText="1"/>
    </xf>
    <xf numFmtId="0" fontId="0" fillId="5" borderId="60" xfId="0" applyFont="1" applyFill="1" applyBorder="1" applyAlignment="1">
      <alignment horizontal="center" wrapText="1"/>
    </xf>
    <xf numFmtId="0" fontId="0" fillId="5" borderId="16" xfId="0" applyFont="1" applyFill="1" applyBorder="1" applyAlignment="1">
      <alignment horizontal="center" wrapText="1"/>
    </xf>
    <xf numFmtId="0" fontId="0" fillId="5" borderId="57" xfId="0" applyFont="1" applyFill="1" applyBorder="1" applyAlignment="1">
      <alignment horizontal="center" wrapText="1"/>
    </xf>
    <xf numFmtId="0" fontId="0" fillId="5" borderId="69" xfId="0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1" fontId="43" fillId="0" borderId="11" xfId="0" applyNumberFormat="1" applyFont="1" applyBorder="1" applyAlignment="1">
      <alignment horizontal="center" vertical="center" wrapText="1"/>
    </xf>
    <xf numFmtId="1" fontId="43" fillId="0" borderId="52" xfId="0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horizontal="center" vertical="center" wrapText="1"/>
    </xf>
    <xf numFmtId="0" fontId="43" fillId="0" borderId="78" xfId="0" applyFont="1" applyFill="1" applyBorder="1" applyAlignment="1">
      <alignment horizontal="center" vertical="center" wrapText="1"/>
    </xf>
    <xf numFmtId="1" fontId="43" fillId="0" borderId="78" xfId="0" applyNumberFormat="1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7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  <xf numFmtId="9" fontId="43" fillId="2" borderId="0" xfId="0" applyNumberFormat="1" applyFont="1" applyFill="1" applyBorder="1" applyAlignment="1">
      <alignment horizontal="center" vertical="center" wrapText="1"/>
    </xf>
    <xf numFmtId="0" fontId="43" fillId="0" borderId="78" xfId="0" applyFont="1" applyBorder="1" applyAlignment="1">
      <alignment horizontal="center" vertical="top" wrapText="1"/>
    </xf>
    <xf numFmtId="0" fontId="43" fillId="0" borderId="78" xfId="0" applyFont="1" applyBorder="1" applyAlignment="1">
      <alignment horizontal="center" vertical="center" wrapText="1"/>
    </xf>
    <xf numFmtId="0" fontId="43" fillId="2" borderId="78" xfId="0" applyFont="1" applyFill="1" applyBorder="1" applyAlignment="1">
      <alignment horizontal="center" vertical="center" wrapText="1"/>
    </xf>
    <xf numFmtId="1" fontId="43" fillId="0" borderId="78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3" fillId="0" borderId="51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1" fontId="14" fillId="0" borderId="5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1" fontId="14" fillId="0" borderId="37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61" fillId="0" borderId="78" xfId="0" applyFont="1" applyFill="1" applyBorder="1" applyAlignment="1">
      <alignment horizontal="center" vertical="center" wrapText="1"/>
    </xf>
    <xf numFmtId="1" fontId="14" fillId="0" borderId="78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1" fontId="43" fillId="0" borderId="51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43" fillId="0" borderId="78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78" xfId="0" applyNumberFormat="1" applyFont="1" applyBorder="1" applyAlignment="1">
      <alignment horizontal="center" vertical="center" wrapText="1"/>
    </xf>
    <xf numFmtId="0" fontId="40" fillId="0" borderId="62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87" xfId="0" applyFont="1" applyBorder="1" applyAlignment="1">
      <alignment wrapText="1"/>
    </xf>
    <xf numFmtId="3" fontId="6" fillId="0" borderId="12" xfId="0" applyNumberFormat="1" applyFont="1" applyBorder="1" applyAlignment="1">
      <alignment horizontal="center" vertical="center" wrapText="1"/>
    </xf>
    <xf numFmtId="1" fontId="43" fillId="0" borderId="13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44" fillId="0" borderId="0" xfId="0" applyFont="1" applyBorder="1" applyAlignment="1">
      <alignment wrapText="1"/>
    </xf>
    <xf numFmtId="0" fontId="44" fillId="0" borderId="78" xfId="0" applyFont="1" applyBorder="1" applyAlignment="1">
      <alignment wrapText="1"/>
    </xf>
    <xf numFmtId="3" fontId="43" fillId="36" borderId="12" xfId="0" applyNumberFormat="1" applyFont="1" applyFill="1" applyBorder="1" applyAlignment="1">
      <alignment horizontal="center" vertical="center" wrapText="1"/>
    </xf>
    <xf numFmtId="3" fontId="43" fillId="36" borderId="51" xfId="0" applyNumberFormat="1" applyFont="1" applyFill="1" applyBorder="1" applyAlignment="1">
      <alignment horizontal="center" vertical="center" wrapText="1"/>
    </xf>
    <xf numFmtId="3" fontId="43" fillId="36" borderId="78" xfId="0" applyNumberFormat="1" applyFont="1" applyFill="1" applyBorder="1" applyAlignment="1">
      <alignment horizontal="center" vertical="center" wrapText="1"/>
    </xf>
    <xf numFmtId="0" fontId="44" fillId="0" borderId="48" xfId="0" applyFont="1" applyBorder="1" applyAlignment="1">
      <alignment wrapText="1"/>
    </xf>
    <xf numFmtId="165" fontId="43" fillId="0" borderId="61" xfId="0" applyNumberFormat="1" applyFont="1" applyBorder="1" applyAlignment="1">
      <alignment horizontal="center" vertical="center" wrapText="1"/>
    </xf>
    <xf numFmtId="165" fontId="43" fillId="0" borderId="50" xfId="0" applyNumberFormat="1" applyFont="1" applyBorder="1" applyAlignment="1">
      <alignment horizontal="center" vertical="center" wrapText="1"/>
    </xf>
    <xf numFmtId="165" fontId="43" fillId="0" borderId="51" xfId="0" applyNumberFormat="1" applyFont="1" applyBorder="1" applyAlignment="1">
      <alignment horizontal="center" vertical="center" wrapText="1"/>
    </xf>
    <xf numFmtId="165" fontId="43" fillId="0" borderId="52" xfId="0" applyNumberFormat="1" applyFont="1" applyBorder="1" applyAlignment="1">
      <alignment horizontal="center" vertical="center" wrapText="1"/>
    </xf>
    <xf numFmtId="1" fontId="43" fillId="0" borderId="12" xfId="0" applyNumberFormat="1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top" wrapText="1"/>
    </xf>
    <xf numFmtId="165" fontId="43" fillId="0" borderId="0" xfId="0" applyNumberFormat="1" applyFont="1" applyBorder="1" applyAlignment="1">
      <alignment horizontal="center" vertical="center" wrapText="1"/>
    </xf>
    <xf numFmtId="1" fontId="43" fillId="0" borderId="0" xfId="0" applyNumberFormat="1" applyFont="1" applyBorder="1" applyAlignment="1">
      <alignment horizontal="center" vertical="center"/>
    </xf>
    <xf numFmtId="0" fontId="44" fillId="0" borderId="78" xfId="0" applyFont="1" applyBorder="1" applyAlignment="1">
      <alignment vertical="top" wrapText="1"/>
    </xf>
    <xf numFmtId="165" fontId="43" fillId="0" borderId="78" xfId="0" applyNumberFormat="1" applyFont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horizontal="center" vertical="center" wrapText="1"/>
    </xf>
    <xf numFmtId="1" fontId="43" fillId="0" borderId="78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79" xfId="0" applyFont="1" applyFill="1" applyBorder="1" applyAlignment="1">
      <alignment horizontal="left" vertical="center"/>
    </xf>
    <xf numFmtId="0" fontId="54" fillId="0" borderId="0" xfId="54" applyFont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 wrapText="1"/>
      <protection/>
    </xf>
    <xf numFmtId="0" fontId="155" fillId="0" borderId="0" xfId="0" applyFont="1" applyAlignment="1">
      <alignment vertical="top"/>
    </xf>
    <xf numFmtId="0" fontId="39" fillId="0" borderId="0" xfId="0" applyFont="1" applyAlignment="1">
      <alignment/>
    </xf>
    <xf numFmtId="2" fontId="12" fillId="0" borderId="15" xfId="55" applyNumberFormat="1" applyFont="1" applyBorder="1" applyAlignment="1">
      <alignment horizontal="center" vertical="center" wrapText="1"/>
      <protection/>
    </xf>
    <xf numFmtId="2" fontId="12" fillId="0" borderId="37" xfId="55" applyNumberFormat="1" applyFont="1" applyBorder="1" applyAlignment="1">
      <alignment horizontal="center" vertical="center" wrapText="1"/>
      <protection/>
    </xf>
    <xf numFmtId="14" fontId="18" fillId="0" borderId="0" xfId="0" applyNumberFormat="1" applyFont="1" applyBorder="1" applyAlignment="1">
      <alignment/>
    </xf>
    <xf numFmtId="169" fontId="10" fillId="0" borderId="0" xfId="0" applyNumberFormat="1" applyFont="1" applyBorder="1" applyAlignment="1">
      <alignment horizontal="center" vertical="center" wrapText="1"/>
    </xf>
    <xf numFmtId="169" fontId="9" fillId="0" borderId="0" xfId="0" applyNumberFormat="1" applyFont="1" applyBorder="1" applyAlignment="1">
      <alignment horizontal="center" vertical="center" wrapText="1"/>
    </xf>
    <xf numFmtId="169" fontId="10" fillId="0" borderId="0" xfId="0" applyNumberFormat="1" applyFont="1" applyBorder="1" applyAlignment="1">
      <alignment horizontal="center" vertical="center" wrapText="1"/>
    </xf>
    <xf numFmtId="169" fontId="10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center" vertical="center"/>
    </xf>
    <xf numFmtId="2" fontId="12" fillId="0" borderId="0" xfId="55" applyNumberFormat="1" applyFont="1" applyBorder="1" applyAlignment="1">
      <alignment horizontal="center" vertical="center" wrapText="1"/>
      <protection/>
    </xf>
    <xf numFmtId="169" fontId="10" fillId="0" borderId="78" xfId="0" applyNumberFormat="1" applyFont="1" applyBorder="1" applyAlignment="1">
      <alignment horizontal="center" vertical="center" wrapText="1"/>
    </xf>
    <xf numFmtId="169" fontId="10" fillId="0" borderId="78" xfId="0" applyNumberFormat="1" applyFont="1" applyBorder="1" applyAlignment="1">
      <alignment horizontal="center" vertical="center" wrapText="1"/>
    </xf>
    <xf numFmtId="1" fontId="22" fillId="0" borderId="78" xfId="0" applyNumberFormat="1" applyFont="1" applyBorder="1" applyAlignment="1">
      <alignment horizontal="center" vertical="center"/>
    </xf>
    <xf numFmtId="169" fontId="10" fillId="0" borderId="55" xfId="0" applyNumberFormat="1" applyFont="1" applyBorder="1" applyAlignment="1">
      <alignment horizontal="center" vertical="center" wrapText="1"/>
    </xf>
    <xf numFmtId="169" fontId="10" fillId="0" borderId="86" xfId="0" applyNumberFormat="1" applyFont="1" applyBorder="1" applyAlignment="1">
      <alignment horizontal="center" vertical="center" wrapText="1"/>
    </xf>
    <xf numFmtId="169" fontId="10" fillId="0" borderId="57" xfId="0" applyNumberFormat="1" applyFont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center" vertical="center" wrapText="1"/>
    </xf>
    <xf numFmtId="169" fontId="22" fillId="0" borderId="0" xfId="0" applyNumberFormat="1" applyFont="1" applyFill="1" applyBorder="1" applyAlignment="1">
      <alignment horizontal="center"/>
    </xf>
    <xf numFmtId="169" fontId="12" fillId="0" borderId="78" xfId="0" applyNumberFormat="1" applyFont="1" applyFill="1" applyBorder="1" applyAlignment="1">
      <alignment horizontal="center" vertical="center" wrapText="1"/>
    </xf>
    <xf numFmtId="169" fontId="22" fillId="0" borderId="78" xfId="0" applyNumberFormat="1" applyFont="1" applyFill="1" applyBorder="1" applyAlignment="1">
      <alignment horizontal="center"/>
    </xf>
    <xf numFmtId="0" fontId="39" fillId="0" borderId="0" xfId="0" applyFont="1" applyBorder="1" applyAlignment="1">
      <alignment vertical="center"/>
    </xf>
    <xf numFmtId="14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 wrapText="1"/>
    </xf>
    <xf numFmtId="2" fontId="22" fillId="0" borderId="0" xfId="0" applyNumberFormat="1" applyFont="1" applyBorder="1" applyAlignment="1">
      <alignment horizontal="center" vertical="center" wrapText="1"/>
    </xf>
    <xf numFmtId="0" fontId="39" fillId="0" borderId="78" xfId="0" applyFont="1" applyBorder="1" applyAlignment="1">
      <alignment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wrapText="1"/>
    </xf>
    <xf numFmtId="2" fontId="22" fillId="0" borderId="78" xfId="0" applyNumberFormat="1" applyFont="1" applyBorder="1" applyAlignment="1">
      <alignment horizontal="center" vertical="center"/>
    </xf>
    <xf numFmtId="0" fontId="108" fillId="0" borderId="0" xfId="55" applyFont="1" applyFill="1" applyBorder="1" applyAlignment="1">
      <alignment vertical="center"/>
      <protection/>
    </xf>
    <xf numFmtId="0" fontId="108" fillId="0" borderId="37" xfId="55" applyFont="1" applyFill="1" applyBorder="1" applyAlignment="1">
      <alignment horizontal="center" vertical="center"/>
      <protection/>
    </xf>
    <xf numFmtId="2" fontId="12" fillId="0" borderId="14" xfId="0" applyNumberFormat="1" applyFont="1" applyBorder="1" applyAlignment="1">
      <alignment horizontal="center"/>
    </xf>
    <xf numFmtId="2" fontId="12" fillId="0" borderId="16" xfId="55" applyNumberFormat="1" applyFont="1" applyBorder="1" applyAlignment="1">
      <alignment horizontal="center" wrapText="1"/>
      <protection/>
    </xf>
    <xf numFmtId="2" fontId="12" fillId="0" borderId="37" xfId="63" applyNumberFormat="1" applyFont="1" applyFill="1" applyBorder="1" applyAlignment="1">
      <alignment horizontal="center"/>
    </xf>
    <xf numFmtId="169" fontId="51" fillId="0" borderId="0" xfId="0" applyNumberFormat="1" applyFont="1" applyBorder="1" applyAlignment="1">
      <alignment horizontal="center" vertical="center" wrapText="1"/>
    </xf>
    <xf numFmtId="169" fontId="51" fillId="0" borderId="0" xfId="0" applyNumberFormat="1" applyFont="1" applyBorder="1" applyAlignment="1">
      <alignment horizontal="center" vertical="center" wrapText="1"/>
    </xf>
    <xf numFmtId="169" fontId="51" fillId="0" borderId="0" xfId="0" applyNumberFormat="1" applyFont="1" applyBorder="1" applyAlignment="1">
      <alignment/>
    </xf>
    <xf numFmtId="0" fontId="22" fillId="36" borderId="0" xfId="0" applyFont="1" applyFill="1" applyBorder="1" applyAlignment="1">
      <alignment horizontal="center"/>
    </xf>
    <xf numFmtId="169" fontId="22" fillId="0" borderId="0" xfId="0" applyNumberFormat="1" applyFont="1" applyBorder="1" applyAlignment="1">
      <alignment horizontal="center" wrapText="1"/>
    </xf>
    <xf numFmtId="169" fontId="12" fillId="0" borderId="0" xfId="0" applyNumberFormat="1" applyFont="1" applyBorder="1" applyAlignment="1">
      <alignment horizontal="center"/>
    </xf>
    <xf numFmtId="169" fontId="51" fillId="0" borderId="78" xfId="0" applyNumberFormat="1" applyFont="1" applyBorder="1" applyAlignment="1">
      <alignment horizontal="center" vertical="center" wrapText="1"/>
    </xf>
    <xf numFmtId="169" fontId="51" fillId="0" borderId="78" xfId="0" applyNumberFormat="1" applyFont="1" applyBorder="1" applyAlignment="1">
      <alignment horizontal="center" vertical="center" wrapText="1"/>
    </xf>
    <xf numFmtId="0" fontId="22" fillId="36" borderId="78" xfId="0" applyFont="1" applyFill="1" applyBorder="1" applyAlignment="1">
      <alignment horizontal="center"/>
    </xf>
    <xf numFmtId="1" fontId="12" fillId="0" borderId="14" xfId="63" applyNumberFormat="1" applyFont="1" applyFill="1" applyBorder="1" applyAlignment="1">
      <alignment horizontal="center"/>
    </xf>
    <xf numFmtId="1" fontId="12" fillId="0" borderId="15" xfId="63" applyNumberFormat="1" applyFont="1" applyFill="1" applyBorder="1" applyAlignment="1">
      <alignment horizontal="center"/>
    </xf>
    <xf numFmtId="1" fontId="12" fillId="0" borderId="45" xfId="63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0" fontId="39" fillId="0" borderId="0" xfId="0" applyNumberFormat="1" applyFont="1" applyFill="1" applyBorder="1" applyAlignment="1">
      <alignment wrapText="1"/>
    </xf>
    <xf numFmtId="169" fontId="10" fillId="0" borderId="13" xfId="0" applyNumberFormat="1" applyFont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169" fontId="21" fillId="0" borderId="61" xfId="0" applyNumberFormat="1" applyFont="1" applyFill="1" applyBorder="1" applyAlignment="1">
      <alignment horizontal="center" vertical="center" wrapText="1"/>
    </xf>
    <xf numFmtId="169" fontId="10" fillId="0" borderId="0" xfId="0" applyNumberFormat="1" applyFont="1" applyBorder="1" applyAlignment="1">
      <alignment horizont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69" fontId="21" fillId="0" borderId="78" xfId="0" applyNumberFormat="1" applyFont="1" applyFill="1" applyBorder="1" applyAlignment="1">
      <alignment horizontal="center" vertical="center" wrapText="1"/>
    </xf>
    <xf numFmtId="0" fontId="18" fillId="0" borderId="78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50" xfId="0" applyNumberFormat="1" applyFont="1" applyBorder="1" applyAlignment="1">
      <alignment horizontal="center" vertical="center"/>
    </xf>
    <xf numFmtId="2" fontId="21" fillId="0" borderId="52" xfId="0" applyNumberFormat="1" applyFont="1" applyBorder="1" applyAlignment="1">
      <alignment horizontal="center" vertical="center"/>
    </xf>
    <xf numFmtId="2" fontId="21" fillId="0" borderId="78" xfId="0" applyNumberFormat="1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2" fontId="18" fillId="0" borderId="7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266700</xdr:rowOff>
    </xdr:from>
    <xdr:to>
      <xdr:col>1</xdr:col>
      <xdr:colOff>2238375</xdr:colOff>
      <xdr:row>4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66700"/>
          <a:ext cx="37623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2</xdr:col>
      <xdr:colOff>638175</xdr:colOff>
      <xdr:row>0</xdr:row>
      <xdr:rowOff>19050</xdr:rowOff>
    </xdr:to>
    <xdr:sp>
      <xdr:nvSpPr>
        <xdr:cNvPr id="2" name="WordArt 5"/>
        <xdr:cNvSpPr>
          <a:spLocks/>
        </xdr:cNvSpPr>
      </xdr:nvSpPr>
      <xdr:spPr>
        <a:xfrm>
          <a:off x="2028825" y="0"/>
          <a:ext cx="54673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0</xdr:rowOff>
    </xdr:from>
    <xdr:to>
      <xdr:col>0</xdr:col>
      <xdr:colOff>771525</xdr:colOff>
      <xdr:row>3</xdr:row>
      <xdr:rowOff>0</xdr:rowOff>
    </xdr:to>
    <xdr:pic>
      <xdr:nvPicPr>
        <xdr:cNvPr id="1" name="Picture 110" descr="Славро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287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123825</xdr:rowOff>
    </xdr:from>
    <xdr:to>
      <xdr:col>1</xdr:col>
      <xdr:colOff>495300</xdr:colOff>
      <xdr:row>0</xdr:row>
      <xdr:rowOff>123825</xdr:rowOff>
    </xdr:to>
    <xdr:pic>
      <xdr:nvPicPr>
        <xdr:cNvPr id="2" name="Рисунок 6" descr="шаблон_мал.jpg"/>
        <xdr:cNvPicPr preferRelativeResize="1">
          <a:picLocks noChangeAspect="1"/>
        </xdr:cNvPicPr>
      </xdr:nvPicPr>
      <xdr:blipFill>
        <a:blip r:embed="rId2"/>
        <a:srcRect l="294" t="4287" r="63868" b="-5056"/>
        <a:stretch>
          <a:fillRect/>
        </a:stretch>
      </xdr:blipFill>
      <xdr:spPr>
        <a:xfrm>
          <a:off x="95250" y="123825"/>
          <a:ext cx="243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638175</xdr:colOff>
      <xdr:row>0</xdr:row>
      <xdr:rowOff>19050</xdr:rowOff>
    </xdr:to>
    <xdr:sp>
      <xdr:nvSpPr>
        <xdr:cNvPr id="3" name="WordArt 5"/>
        <xdr:cNvSpPr>
          <a:spLocks/>
        </xdr:cNvSpPr>
      </xdr:nvSpPr>
      <xdr:spPr>
        <a:xfrm>
          <a:off x="2085975" y="0"/>
          <a:ext cx="52482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238125</xdr:rowOff>
    </xdr:from>
    <xdr:to>
      <xdr:col>1</xdr:col>
      <xdr:colOff>2143125</xdr:colOff>
      <xdr:row>5</xdr:row>
      <xdr:rowOff>123825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238125"/>
          <a:ext cx="3743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2</xdr:col>
      <xdr:colOff>638175</xdr:colOff>
      <xdr:row>0</xdr:row>
      <xdr:rowOff>19050</xdr:rowOff>
    </xdr:to>
    <xdr:sp>
      <xdr:nvSpPr>
        <xdr:cNvPr id="1" name="WordArt 5"/>
        <xdr:cNvSpPr>
          <a:spLocks/>
        </xdr:cNvSpPr>
      </xdr:nvSpPr>
      <xdr:spPr>
        <a:xfrm>
          <a:off x="1304925" y="0"/>
          <a:ext cx="4505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19050</xdr:rowOff>
    </xdr:from>
    <xdr:to>
      <xdr:col>1</xdr:col>
      <xdr:colOff>1609725</xdr:colOff>
      <xdr:row>3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2266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571500</xdr:colOff>
      <xdr:row>0</xdr:row>
      <xdr:rowOff>38100</xdr:rowOff>
    </xdr:to>
    <xdr:pic>
      <xdr:nvPicPr>
        <xdr:cNvPr id="1" name="Рисунок 18" descr="шаблон_мал.jpg"/>
        <xdr:cNvPicPr preferRelativeResize="1">
          <a:picLocks noChangeAspect="1"/>
        </xdr:cNvPicPr>
      </xdr:nvPicPr>
      <xdr:blipFill>
        <a:blip r:embed="rId1"/>
        <a:srcRect l="294" t="4287" r="63868" b="-5056"/>
        <a:stretch>
          <a:fillRect/>
        </a:stretch>
      </xdr:blipFill>
      <xdr:spPr>
        <a:xfrm>
          <a:off x="19050" y="38100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65</xdr:row>
      <xdr:rowOff>0</xdr:rowOff>
    </xdr:from>
    <xdr:to>
      <xdr:col>3</xdr:col>
      <xdr:colOff>304800</xdr:colOff>
      <xdr:row>65</xdr:row>
      <xdr:rowOff>0</xdr:rowOff>
    </xdr:to>
    <xdr:pic>
      <xdr:nvPicPr>
        <xdr:cNvPr id="2" name="Picture 110" descr="Славро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744825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76200</xdr:rowOff>
    </xdr:from>
    <xdr:to>
      <xdr:col>3</xdr:col>
      <xdr:colOff>609600</xdr:colOff>
      <xdr:row>0</xdr:row>
      <xdr:rowOff>76200</xdr:rowOff>
    </xdr:to>
    <xdr:pic>
      <xdr:nvPicPr>
        <xdr:cNvPr id="3" name="Picture 110" descr="Славро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620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65</xdr:row>
      <xdr:rowOff>0</xdr:rowOff>
    </xdr:from>
    <xdr:to>
      <xdr:col>3</xdr:col>
      <xdr:colOff>304800</xdr:colOff>
      <xdr:row>65</xdr:row>
      <xdr:rowOff>0</xdr:rowOff>
    </xdr:to>
    <xdr:pic>
      <xdr:nvPicPr>
        <xdr:cNvPr id="4" name="Picture 110" descr="Славро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744825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120</xdr:row>
      <xdr:rowOff>0</xdr:rowOff>
    </xdr:from>
    <xdr:to>
      <xdr:col>3</xdr:col>
      <xdr:colOff>304800</xdr:colOff>
      <xdr:row>120</xdr:row>
      <xdr:rowOff>0</xdr:rowOff>
    </xdr:to>
    <xdr:pic>
      <xdr:nvPicPr>
        <xdr:cNvPr id="5" name="Picture 110" descr="Славро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655570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4</xdr:col>
      <xdr:colOff>647700</xdr:colOff>
      <xdr:row>0</xdr:row>
      <xdr:rowOff>19050</xdr:rowOff>
    </xdr:to>
    <xdr:sp>
      <xdr:nvSpPr>
        <xdr:cNvPr id="6" name="WordArt 5"/>
        <xdr:cNvSpPr>
          <a:spLocks/>
        </xdr:cNvSpPr>
      </xdr:nvSpPr>
      <xdr:spPr>
        <a:xfrm>
          <a:off x="1438275" y="0"/>
          <a:ext cx="1295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95250</xdr:rowOff>
    </xdr:from>
    <xdr:to>
      <xdr:col>4</xdr:col>
      <xdr:colOff>19050</xdr:colOff>
      <xdr:row>5</xdr:row>
      <xdr:rowOff>180975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95250"/>
          <a:ext cx="1866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800100</xdr:colOff>
      <xdr:row>3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210300" y="619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866775</xdr:colOff>
      <xdr:row>3</xdr:row>
      <xdr:rowOff>0</xdr:rowOff>
    </xdr:from>
    <xdr:ext cx="209550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6276975" y="619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47625</xdr:colOff>
      <xdr:row>0</xdr:row>
      <xdr:rowOff>0</xdr:rowOff>
    </xdr:from>
    <xdr:to>
      <xdr:col>2</xdr:col>
      <xdr:colOff>638175</xdr:colOff>
      <xdr:row>0</xdr:row>
      <xdr:rowOff>19050</xdr:rowOff>
    </xdr:to>
    <xdr:sp>
      <xdr:nvSpPr>
        <xdr:cNvPr id="3" name="WordArt 5"/>
        <xdr:cNvSpPr>
          <a:spLocks/>
        </xdr:cNvSpPr>
      </xdr:nvSpPr>
      <xdr:spPr>
        <a:xfrm>
          <a:off x="1666875" y="0"/>
          <a:ext cx="43815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409575</xdr:colOff>
      <xdr:row>1</xdr:row>
      <xdr:rowOff>19050</xdr:rowOff>
    </xdr:from>
    <xdr:to>
      <xdr:col>1</xdr:col>
      <xdr:colOff>1733550</xdr:colOff>
      <xdr:row>5</xdr:row>
      <xdr:rowOff>19050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9550"/>
          <a:ext cx="2943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800100</xdr:colOff>
      <xdr:row>3</xdr:row>
      <xdr:rowOff>0</xdr:rowOff>
    </xdr:from>
    <xdr:ext cx="209550" cy="266700"/>
    <xdr:sp fLocksText="0">
      <xdr:nvSpPr>
        <xdr:cNvPr id="1" name="TextBox 9"/>
        <xdr:cNvSpPr txBox="1">
          <a:spLocks noChangeArrowheads="1"/>
        </xdr:cNvSpPr>
      </xdr:nvSpPr>
      <xdr:spPr>
        <a:xfrm>
          <a:off x="6210300" y="542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47625</xdr:colOff>
      <xdr:row>0</xdr:row>
      <xdr:rowOff>0</xdr:rowOff>
    </xdr:from>
    <xdr:to>
      <xdr:col>2</xdr:col>
      <xdr:colOff>638175</xdr:colOff>
      <xdr:row>0</xdr:row>
      <xdr:rowOff>19050</xdr:rowOff>
    </xdr:to>
    <xdr:sp>
      <xdr:nvSpPr>
        <xdr:cNvPr id="2" name="WordArt 5"/>
        <xdr:cNvSpPr>
          <a:spLocks/>
        </xdr:cNvSpPr>
      </xdr:nvSpPr>
      <xdr:spPr>
        <a:xfrm>
          <a:off x="1666875" y="0"/>
          <a:ext cx="43815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180975</xdr:rowOff>
    </xdr:from>
    <xdr:to>
      <xdr:col>1</xdr:col>
      <xdr:colOff>1266825</xdr:colOff>
      <xdr:row>5</xdr:row>
      <xdr:rowOff>76200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80975"/>
          <a:ext cx="2590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Аспект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F259"/>
  <sheetViews>
    <sheetView tabSelected="1" zoomScale="59" zoomScaleNormal="59" zoomScalePageLayoutView="50" workbookViewId="0" topLeftCell="A1">
      <pane xSplit="1" topLeftCell="B1" activePane="topRight" state="frozen"/>
      <selection pane="topLeft" activeCell="A88" sqref="A88"/>
      <selection pane="topRight" activeCell="J8" sqref="J8:L8"/>
    </sheetView>
  </sheetViews>
  <sheetFormatPr defaultColWidth="9.00390625" defaultRowHeight="12.75"/>
  <cols>
    <col min="1" max="1" width="26.125" style="37" customWidth="1"/>
    <col min="2" max="2" width="63.875" style="37" customWidth="1"/>
    <col min="3" max="3" width="16.25390625" style="37" customWidth="1"/>
    <col min="4" max="4" width="16.125" style="37" customWidth="1"/>
    <col min="5" max="5" width="35.75390625" style="117" customWidth="1"/>
    <col min="6" max="6" width="36.00390625" style="37" customWidth="1"/>
    <col min="7" max="7" width="16.75390625" style="37" customWidth="1"/>
    <col min="8" max="8" width="3.25390625" style="37" customWidth="1"/>
    <col min="9" max="9" width="18.00390625" style="37" customWidth="1"/>
    <col min="10" max="10" width="14.00390625" style="118" customWidth="1"/>
    <col min="11" max="11" width="3.00390625" style="118" customWidth="1"/>
    <col min="12" max="12" width="18.00390625" style="118" customWidth="1"/>
    <col min="13" max="13" width="14.75390625" style="114" customWidth="1"/>
    <col min="14" max="14" width="3.25390625" style="114" customWidth="1"/>
    <col min="15" max="15" width="17.375" style="114" customWidth="1"/>
    <col min="16" max="16" width="15.75390625" style="118" customWidth="1"/>
    <col min="17" max="17" width="3.00390625" style="118" customWidth="1"/>
    <col min="18" max="18" width="19.00390625" style="118" customWidth="1"/>
    <col min="19" max="19" width="11.625" style="37" customWidth="1"/>
    <col min="20" max="25" width="9.125" style="37" hidden="1" customWidth="1"/>
    <col min="26" max="27" width="9.125" style="37" customWidth="1"/>
    <col min="28" max="32" width="0" style="37" hidden="1" customWidth="1"/>
    <col min="33" max="16384" width="9.125" style="37" customWidth="1"/>
  </cols>
  <sheetData>
    <row r="1" spans="1:19" ht="62.25" customHeight="1">
      <c r="A1" s="112"/>
      <c r="C1" s="2173" t="s">
        <v>1241</v>
      </c>
      <c r="D1" s="2173"/>
      <c r="E1" s="2173"/>
      <c r="F1" s="2173"/>
      <c r="G1" s="113"/>
      <c r="H1" s="113"/>
      <c r="I1" s="113"/>
      <c r="J1" s="113"/>
      <c r="K1" s="113"/>
      <c r="L1" s="113"/>
      <c r="M1" s="2162"/>
      <c r="P1" s="114"/>
      <c r="Q1" s="114"/>
      <c r="R1" s="114"/>
      <c r="S1" s="115"/>
    </row>
    <row r="2" spans="1:19" ht="20.25" customHeight="1">
      <c r="A2" s="112"/>
      <c r="C2" s="2173"/>
      <c r="D2" s="2173"/>
      <c r="E2" s="2173"/>
      <c r="F2" s="2173"/>
      <c r="G2" s="116"/>
      <c r="H2" s="116"/>
      <c r="I2" s="116"/>
      <c r="J2" s="116"/>
      <c r="K2" s="116"/>
      <c r="L2" s="116"/>
      <c r="M2" s="2163"/>
      <c r="P2" s="114"/>
      <c r="Q2" s="114"/>
      <c r="R2" s="114"/>
      <c r="S2" s="115"/>
    </row>
    <row r="3" spans="1:19" ht="0.75" customHeight="1">
      <c r="A3" s="112"/>
      <c r="C3" s="2173"/>
      <c r="D3" s="2173"/>
      <c r="E3" s="2173"/>
      <c r="F3" s="2173"/>
      <c r="P3" s="114"/>
      <c r="Q3" s="114"/>
      <c r="R3" s="114"/>
      <c r="S3" s="115"/>
    </row>
    <row r="4" spans="1:19" s="119" customFormat="1" ht="46.5" customHeight="1">
      <c r="A4" s="1609" t="s">
        <v>9</v>
      </c>
      <c r="B4" s="1609"/>
      <c r="C4" s="1609"/>
      <c r="D4" s="1609"/>
      <c r="E4" s="1609"/>
      <c r="F4" s="1609"/>
      <c r="G4" s="1609"/>
      <c r="H4" s="1609"/>
      <c r="I4" s="1609"/>
      <c r="J4" s="2171"/>
      <c r="K4" s="2171"/>
      <c r="L4" s="2171"/>
      <c r="M4" s="2171"/>
      <c r="N4" s="2171"/>
      <c r="O4" s="2171"/>
      <c r="P4" s="2171"/>
      <c r="Q4" s="2171"/>
      <c r="R4" s="2171"/>
      <c r="S4" s="120"/>
    </row>
    <row r="5" spans="1:19" s="38" customFormat="1" ht="18" customHeight="1">
      <c r="A5" s="121"/>
      <c r="B5" s="121"/>
      <c r="C5" s="121"/>
      <c r="D5" s="121"/>
      <c r="E5" s="122"/>
      <c r="F5" s="121"/>
      <c r="G5" s="121"/>
      <c r="H5" s="121"/>
      <c r="I5" s="121"/>
      <c r="J5" s="123"/>
      <c r="K5" s="123"/>
      <c r="L5" s="41"/>
      <c r="M5" s="2164"/>
      <c r="N5" s="123"/>
      <c r="O5" s="123"/>
      <c r="P5" s="123"/>
      <c r="Q5" s="123"/>
      <c r="R5" s="123"/>
      <c r="S5" s="124"/>
    </row>
    <row r="6" spans="1:19" ht="13.5" thickBot="1">
      <c r="A6" s="125"/>
      <c r="B6" s="125"/>
      <c r="C6" s="125"/>
      <c r="D6" s="125"/>
      <c r="E6" s="126"/>
      <c r="F6" s="125"/>
      <c r="G6" s="125"/>
      <c r="H6" s="125"/>
      <c r="I6" s="125"/>
      <c r="J6" s="114"/>
      <c r="K6" s="114"/>
      <c r="L6" s="114"/>
      <c r="P6" s="114"/>
      <c r="Q6" s="114"/>
      <c r="R6" s="114"/>
      <c r="S6" s="115"/>
    </row>
    <row r="7" spans="1:18" s="111" customFormat="1" ht="24" customHeight="1">
      <c r="A7" s="1610" t="s">
        <v>0</v>
      </c>
      <c r="B7" s="1614" t="s">
        <v>1</v>
      </c>
      <c r="C7" s="1617" t="s">
        <v>19</v>
      </c>
      <c r="D7" s="1617" t="s">
        <v>24</v>
      </c>
      <c r="E7" s="78"/>
      <c r="F7" s="2092" t="s">
        <v>57</v>
      </c>
      <c r="G7" s="2099" t="s">
        <v>1239</v>
      </c>
      <c r="H7" s="2100"/>
      <c r="I7" s="2101"/>
      <c r="J7" s="2093"/>
      <c r="K7" s="2093"/>
      <c r="L7" s="2093"/>
      <c r="M7" s="2093"/>
      <c r="N7" s="2093"/>
      <c r="O7" s="2093"/>
      <c r="P7" s="2093"/>
      <c r="Q7" s="2093"/>
      <c r="R7" s="2093"/>
    </row>
    <row r="8" spans="1:18" s="111" customFormat="1" ht="36.75" customHeight="1" thickBot="1">
      <c r="A8" s="1611"/>
      <c r="B8" s="1615"/>
      <c r="C8" s="1618"/>
      <c r="D8" s="1618"/>
      <c r="E8" s="79" t="s">
        <v>75</v>
      </c>
      <c r="F8" s="2094"/>
      <c r="G8" s="2098"/>
      <c r="H8" s="2102"/>
      <c r="I8" s="2103"/>
      <c r="J8" s="2075"/>
      <c r="K8" s="2075"/>
      <c r="L8" s="2075"/>
      <c r="M8" s="2075"/>
      <c r="N8" s="2075"/>
      <c r="O8" s="2075"/>
      <c r="P8" s="2075"/>
      <c r="Q8" s="2075"/>
      <c r="R8" s="2075"/>
    </row>
    <row r="9" spans="1:18" s="111" customFormat="1" ht="30" customHeight="1" thickBot="1">
      <c r="A9" s="1612"/>
      <c r="B9" s="1616"/>
      <c r="C9" s="1619"/>
      <c r="D9" s="1619"/>
      <c r="E9" s="80"/>
      <c r="F9" s="1636"/>
      <c r="G9" s="2095" t="s">
        <v>2</v>
      </c>
      <c r="H9" s="2096" t="s">
        <v>3</v>
      </c>
      <c r="I9" s="2097" t="s">
        <v>4</v>
      </c>
      <c r="J9" s="2089"/>
      <c r="K9" s="480"/>
      <c r="L9" s="11"/>
      <c r="M9" s="2076"/>
      <c r="N9" s="480"/>
      <c r="O9" s="11"/>
      <c r="P9" s="2076"/>
      <c r="Q9" s="480"/>
      <c r="R9" s="11"/>
    </row>
    <row r="10" spans="1:18" s="111" customFormat="1" ht="42.75" customHeight="1">
      <c r="A10" s="66" t="s">
        <v>449</v>
      </c>
      <c r="B10" s="313" t="s">
        <v>450</v>
      </c>
      <c r="C10" s="58" t="s">
        <v>46</v>
      </c>
      <c r="D10" s="59" t="s">
        <v>451</v>
      </c>
      <c r="E10" s="60" t="s">
        <v>452</v>
      </c>
      <c r="F10" s="34" t="s">
        <v>127</v>
      </c>
      <c r="G10" s="324">
        <f>750*1.12*1.05*1.165</f>
        <v>1027.5300000000002</v>
      </c>
      <c r="H10" s="22" t="s">
        <v>3</v>
      </c>
      <c r="I10" s="2060">
        <f>G10/27</f>
        <v>38.05666666666667</v>
      </c>
      <c r="J10" s="2090"/>
      <c r="K10" s="658"/>
      <c r="L10" s="628"/>
      <c r="M10" s="629"/>
      <c r="N10" s="658"/>
      <c r="O10" s="628"/>
      <c r="P10" s="629"/>
      <c r="Q10" s="630"/>
      <c r="R10" s="628"/>
    </row>
    <row r="11" spans="1:24" s="835" customFormat="1" ht="42.75" customHeight="1" thickBot="1">
      <c r="A11" s="875" t="s">
        <v>961</v>
      </c>
      <c r="B11" s="689" t="s">
        <v>962</v>
      </c>
      <c r="C11" s="62" t="s">
        <v>46</v>
      </c>
      <c r="D11" s="295" t="s">
        <v>963</v>
      </c>
      <c r="E11" s="301" t="s">
        <v>964</v>
      </c>
      <c r="F11" s="278" t="s">
        <v>58</v>
      </c>
      <c r="G11" s="327">
        <f>T11*1.12*1.05*1.165</f>
        <v>2590.7456400000005</v>
      </c>
      <c r="H11" s="72" t="s">
        <v>3</v>
      </c>
      <c r="I11" s="2061">
        <f>G11/36</f>
        <v>71.96515666666669</v>
      </c>
      <c r="J11" s="2090"/>
      <c r="K11" s="658"/>
      <c r="L11" s="2077"/>
      <c r="M11" s="629"/>
      <c r="N11" s="658"/>
      <c r="O11" s="2077"/>
      <c r="P11" s="629"/>
      <c r="Q11" s="630"/>
      <c r="R11" s="2077"/>
      <c r="S11" s="111"/>
      <c r="T11" s="835">
        <v>1891</v>
      </c>
      <c r="U11" s="835">
        <v>1808</v>
      </c>
      <c r="V11" s="835">
        <v>1754</v>
      </c>
      <c r="W11" s="835">
        <v>1685</v>
      </c>
      <c r="X11" s="835">
        <v>1644</v>
      </c>
    </row>
    <row r="12" spans="1:23" s="836" customFormat="1" ht="41.25" customHeight="1">
      <c r="A12" s="68" t="s">
        <v>258</v>
      </c>
      <c r="B12" s="1001" t="s">
        <v>16</v>
      </c>
      <c r="C12" s="1002" t="s">
        <v>32</v>
      </c>
      <c r="D12" s="267" t="s">
        <v>29</v>
      </c>
      <c r="E12" s="54" t="s">
        <v>76</v>
      </c>
      <c r="F12" s="238" t="s">
        <v>58</v>
      </c>
      <c r="G12" s="681">
        <f>T12*1.12*1.05*1.1</f>
        <v>6599.362380256801</v>
      </c>
      <c r="H12" s="682" t="s">
        <v>3</v>
      </c>
      <c r="I12" s="2062">
        <f>G12/60</f>
        <v>109.98937300428001</v>
      </c>
      <c r="J12" s="2090"/>
      <c r="K12" s="630"/>
      <c r="L12" s="628"/>
      <c r="M12" s="629"/>
      <c r="N12" s="630"/>
      <c r="O12" s="628"/>
      <c r="P12" s="629"/>
      <c r="Q12" s="630"/>
      <c r="R12" s="628"/>
      <c r="S12" s="164"/>
      <c r="T12" s="958">
        <v>5101.547912999999</v>
      </c>
      <c r="U12" s="958">
        <v>4595.1100965</v>
      </c>
      <c r="V12" s="958">
        <v>4060.7949689999996</v>
      </c>
      <c r="W12" s="958">
        <v>3877.17641388</v>
      </c>
    </row>
    <row r="13" spans="1:23" s="836" customFormat="1" ht="41.25" customHeight="1">
      <c r="A13" s="67" t="s">
        <v>259</v>
      </c>
      <c r="B13" s="1003" t="s">
        <v>84</v>
      </c>
      <c r="C13" s="55" t="s">
        <v>27</v>
      </c>
      <c r="D13" s="56" t="s">
        <v>86</v>
      </c>
      <c r="E13" s="57" t="s">
        <v>77</v>
      </c>
      <c r="F13" s="239" t="s">
        <v>58</v>
      </c>
      <c r="G13" s="331">
        <f>T13*1.12*1.05*1.1</f>
        <v>5003.618281200001</v>
      </c>
      <c r="H13" s="332" t="s">
        <v>3</v>
      </c>
      <c r="I13" s="1131">
        <f>G13/30</f>
        <v>166.78727604000002</v>
      </c>
      <c r="J13" s="2090"/>
      <c r="K13" s="630"/>
      <c r="L13" s="628"/>
      <c r="M13" s="629"/>
      <c r="N13" s="630"/>
      <c r="O13" s="628"/>
      <c r="P13" s="629"/>
      <c r="Q13" s="630"/>
      <c r="R13" s="628"/>
      <c r="S13" s="163"/>
      <c r="T13" s="959">
        <v>3867.9795</v>
      </c>
      <c r="U13" s="959">
        <v>3490.2823724999994</v>
      </c>
      <c r="V13" s="959">
        <v>3084.4355849999993</v>
      </c>
      <c r="W13" s="959">
        <v>2939.66442</v>
      </c>
    </row>
    <row r="14" spans="1:23" s="836" customFormat="1" ht="41.25" customHeight="1" thickBot="1">
      <c r="A14" s="1004" t="s">
        <v>260</v>
      </c>
      <c r="B14" s="1005" t="s">
        <v>85</v>
      </c>
      <c r="C14" s="51" t="s">
        <v>27</v>
      </c>
      <c r="D14" s="52" t="s">
        <v>29</v>
      </c>
      <c r="E14" s="53" t="s">
        <v>77</v>
      </c>
      <c r="F14" s="1006" t="s">
        <v>58</v>
      </c>
      <c r="G14" s="608">
        <f>T14*1.12*1.05*1.1</f>
        <v>9972.369819054724</v>
      </c>
      <c r="H14" s="630" t="s">
        <v>3</v>
      </c>
      <c r="I14" s="1129">
        <f>G14/60</f>
        <v>166.20616365091206</v>
      </c>
      <c r="J14" s="2090"/>
      <c r="K14" s="630"/>
      <c r="L14" s="628"/>
      <c r="M14" s="629"/>
      <c r="N14" s="630"/>
      <c r="O14" s="628"/>
      <c r="P14" s="629"/>
      <c r="Q14" s="630"/>
      <c r="R14" s="628"/>
      <c r="S14" s="163"/>
      <c r="T14" s="960">
        <v>7709.0057352</v>
      </c>
      <c r="U14" s="960">
        <v>6950.104020956249</v>
      </c>
      <c r="V14" s="960">
        <v>6141.9523906125</v>
      </c>
      <c r="W14" s="960">
        <v>5858.8443587520005</v>
      </c>
    </row>
    <row r="15" spans="1:19" s="164" customFormat="1" ht="41.25" customHeight="1" thickBot="1">
      <c r="A15" s="107" t="s">
        <v>261</v>
      </c>
      <c r="B15" s="255" t="s">
        <v>146</v>
      </c>
      <c r="C15" s="256" t="s">
        <v>147</v>
      </c>
      <c r="D15" s="257" t="s">
        <v>149</v>
      </c>
      <c r="E15" s="258" t="s">
        <v>79</v>
      </c>
      <c r="F15" s="243" t="s">
        <v>148</v>
      </c>
      <c r="G15" s="322">
        <f>1649*1.12*1.05*1.1</f>
        <v>2133.1464000000005</v>
      </c>
      <c r="H15" s="109" t="s">
        <v>3</v>
      </c>
      <c r="I15" s="548">
        <f>G15/4</f>
        <v>533.2866000000001</v>
      </c>
      <c r="J15" s="2090"/>
      <c r="K15" s="658"/>
      <c r="L15" s="628"/>
      <c r="M15" s="629"/>
      <c r="N15" s="658"/>
      <c r="O15" s="628"/>
      <c r="P15" s="629"/>
      <c r="Q15" s="630"/>
      <c r="R15" s="628"/>
      <c r="S15" s="163"/>
    </row>
    <row r="16" spans="1:19" s="164" customFormat="1" ht="41.25" customHeight="1">
      <c r="A16" s="435" t="s">
        <v>947</v>
      </c>
      <c r="B16" s="434" t="s">
        <v>948</v>
      </c>
      <c r="C16" s="439" t="s">
        <v>128</v>
      </c>
      <c r="D16" s="440" t="s">
        <v>244</v>
      </c>
      <c r="E16" s="334" t="s">
        <v>78</v>
      </c>
      <c r="F16" s="441" t="s">
        <v>127</v>
      </c>
      <c r="G16" s="660">
        <v>446.2920000000001</v>
      </c>
      <c r="H16" s="661" t="s">
        <v>3</v>
      </c>
      <c r="I16" s="2062">
        <v>111.57300000000002</v>
      </c>
      <c r="J16" s="2090"/>
      <c r="K16" s="658"/>
      <c r="L16" s="628"/>
      <c r="M16" s="629"/>
      <c r="N16" s="658"/>
      <c r="O16" s="628"/>
      <c r="P16" s="629"/>
      <c r="Q16" s="630"/>
      <c r="R16" s="628"/>
      <c r="S16" s="163"/>
    </row>
    <row r="17" spans="1:19" s="164" customFormat="1" ht="41.25" customHeight="1">
      <c r="A17" s="444" t="s">
        <v>949</v>
      </c>
      <c r="B17" s="436" t="s">
        <v>950</v>
      </c>
      <c r="C17" s="309" t="s">
        <v>128</v>
      </c>
      <c r="D17" s="445" t="s">
        <v>951</v>
      </c>
      <c r="E17" s="311" t="s">
        <v>78</v>
      </c>
      <c r="F17" s="312" t="s">
        <v>58</v>
      </c>
      <c r="G17" s="330">
        <v>886.1160000000001</v>
      </c>
      <c r="H17" s="23" t="s">
        <v>3</v>
      </c>
      <c r="I17" s="1131">
        <v>110.76450000000001</v>
      </c>
      <c r="J17" s="2090"/>
      <c r="K17" s="658"/>
      <c r="L17" s="628"/>
      <c r="M17" s="629"/>
      <c r="N17" s="658"/>
      <c r="O17" s="628"/>
      <c r="P17" s="629"/>
      <c r="Q17" s="630"/>
      <c r="R17" s="628"/>
      <c r="S17" s="163"/>
    </row>
    <row r="18" spans="1:19" s="164" customFormat="1" ht="41.25" customHeight="1">
      <c r="A18" s="444" t="s">
        <v>952</v>
      </c>
      <c r="B18" s="436" t="s">
        <v>948</v>
      </c>
      <c r="C18" s="309" t="s">
        <v>128</v>
      </c>
      <c r="D18" s="310" t="s">
        <v>246</v>
      </c>
      <c r="E18" s="311" t="s">
        <v>78</v>
      </c>
      <c r="F18" s="312" t="s">
        <v>127</v>
      </c>
      <c r="G18" s="330">
        <v>670.0848000000002</v>
      </c>
      <c r="H18" s="23" t="s">
        <v>3</v>
      </c>
      <c r="I18" s="1131">
        <v>111.68080000000003</v>
      </c>
      <c r="J18" s="2090"/>
      <c r="K18" s="658"/>
      <c r="L18" s="628"/>
      <c r="M18" s="629"/>
      <c r="N18" s="658"/>
      <c r="O18" s="628"/>
      <c r="P18" s="629"/>
      <c r="Q18" s="630"/>
      <c r="R18" s="628"/>
      <c r="S18" s="163"/>
    </row>
    <row r="19" spans="1:19" s="164" customFormat="1" ht="41.25" customHeight="1">
      <c r="A19" s="444" t="s">
        <v>953</v>
      </c>
      <c r="B19" s="436" t="s">
        <v>950</v>
      </c>
      <c r="C19" s="309" t="s">
        <v>128</v>
      </c>
      <c r="D19" s="445" t="s">
        <v>954</v>
      </c>
      <c r="E19" s="311" t="s">
        <v>78</v>
      </c>
      <c r="F19" s="312" t="s">
        <v>58</v>
      </c>
      <c r="G19" s="330">
        <v>1329.8208000000002</v>
      </c>
      <c r="H19" s="23" t="s">
        <v>3</v>
      </c>
      <c r="I19" s="1131">
        <v>110.81840000000001</v>
      </c>
      <c r="J19" s="2090"/>
      <c r="K19" s="658"/>
      <c r="L19" s="628"/>
      <c r="M19" s="629"/>
      <c r="N19" s="658"/>
      <c r="O19" s="628"/>
      <c r="P19" s="629"/>
      <c r="Q19" s="630"/>
      <c r="R19" s="628"/>
      <c r="S19" s="163"/>
    </row>
    <row r="20" spans="1:19" s="164" customFormat="1" ht="41.25" customHeight="1">
      <c r="A20" s="444" t="s">
        <v>955</v>
      </c>
      <c r="B20" s="436" t="s">
        <v>948</v>
      </c>
      <c r="C20" s="309" t="s">
        <v>128</v>
      </c>
      <c r="D20" s="310" t="s">
        <v>143</v>
      </c>
      <c r="E20" s="311" t="s">
        <v>78</v>
      </c>
      <c r="F20" s="312" t="s">
        <v>127</v>
      </c>
      <c r="G20" s="330">
        <v>889.9968000000001</v>
      </c>
      <c r="H20" s="23" t="s">
        <v>3</v>
      </c>
      <c r="I20" s="1131">
        <v>111.24960000000002</v>
      </c>
      <c r="J20" s="2090"/>
      <c r="K20" s="658"/>
      <c r="L20" s="628"/>
      <c r="M20" s="629"/>
      <c r="N20" s="658"/>
      <c r="O20" s="628"/>
      <c r="P20" s="629"/>
      <c r="Q20" s="630"/>
      <c r="R20" s="628"/>
      <c r="S20" s="163"/>
    </row>
    <row r="21" spans="1:19" s="164" customFormat="1" ht="41.25" customHeight="1">
      <c r="A21" s="444" t="s">
        <v>956</v>
      </c>
      <c r="B21" s="436" t="s">
        <v>950</v>
      </c>
      <c r="C21" s="309" t="s">
        <v>128</v>
      </c>
      <c r="D21" s="445" t="s">
        <v>957</v>
      </c>
      <c r="E21" s="311" t="s">
        <v>78</v>
      </c>
      <c r="F21" s="312" t="s">
        <v>58</v>
      </c>
      <c r="G21" s="330">
        <v>1768.3512000000005</v>
      </c>
      <c r="H21" s="23" t="s">
        <v>3</v>
      </c>
      <c r="I21" s="1131">
        <v>110.52195000000003</v>
      </c>
      <c r="J21" s="2090"/>
      <c r="K21" s="658"/>
      <c r="L21" s="628"/>
      <c r="M21" s="629"/>
      <c r="N21" s="658"/>
      <c r="O21" s="628"/>
      <c r="P21" s="629"/>
      <c r="Q21" s="630"/>
      <c r="R21" s="628"/>
      <c r="S21" s="163"/>
    </row>
    <row r="22" spans="1:19" s="164" customFormat="1" ht="41.25" customHeight="1" thickBot="1">
      <c r="A22" s="625" t="s">
        <v>958</v>
      </c>
      <c r="B22" s="650" t="s">
        <v>959</v>
      </c>
      <c r="C22" s="784" t="s">
        <v>128</v>
      </c>
      <c r="D22" s="785" t="s">
        <v>960</v>
      </c>
      <c r="E22" s="786" t="s">
        <v>76</v>
      </c>
      <c r="F22" s="652" t="s">
        <v>127</v>
      </c>
      <c r="G22" s="781">
        <v>438.53040000000016</v>
      </c>
      <c r="H22" s="627" t="s">
        <v>3</v>
      </c>
      <c r="I22" s="628">
        <v>121.81400000000004</v>
      </c>
      <c r="J22" s="2090"/>
      <c r="K22" s="658"/>
      <c r="L22" s="628"/>
      <c r="M22" s="629"/>
      <c r="N22" s="658"/>
      <c r="O22" s="628"/>
      <c r="P22" s="629"/>
      <c r="Q22" s="630"/>
      <c r="R22" s="628"/>
      <c r="S22" s="163"/>
    </row>
    <row r="23" spans="1:24" s="836" customFormat="1" ht="41.25" customHeight="1">
      <c r="A23" s="66" t="s">
        <v>262</v>
      </c>
      <c r="B23" s="313" t="s">
        <v>98</v>
      </c>
      <c r="C23" s="58" t="s">
        <v>28</v>
      </c>
      <c r="D23" s="59" t="s">
        <v>90</v>
      </c>
      <c r="E23" s="60" t="s">
        <v>78</v>
      </c>
      <c r="F23" s="240" t="s">
        <v>127</v>
      </c>
      <c r="G23" s="681">
        <f aca="true" t="shared" si="0" ref="G23:G33">T23*1.12*1.05*1.1</f>
        <v>562.7557782000002</v>
      </c>
      <c r="H23" s="682" t="s">
        <v>3</v>
      </c>
      <c r="I23" s="2062">
        <f>G23/5</f>
        <v>112.55115564000005</v>
      </c>
      <c r="J23" s="2090"/>
      <c r="K23" s="630"/>
      <c r="L23" s="628"/>
      <c r="M23" s="629"/>
      <c r="N23" s="630"/>
      <c r="O23" s="628"/>
      <c r="P23" s="629"/>
      <c r="Q23" s="630"/>
      <c r="R23" s="628"/>
      <c r="S23" s="164"/>
      <c r="T23" s="961">
        <v>435.03075000000007</v>
      </c>
      <c r="U23" s="961">
        <v>391.5276750000001</v>
      </c>
      <c r="V23" s="961">
        <v>348.0246000000001</v>
      </c>
      <c r="W23" s="961">
        <v>326.27306250000004</v>
      </c>
      <c r="X23" s="961">
        <v>322.24500000000006</v>
      </c>
    </row>
    <row r="24" spans="1:24" s="836" customFormat="1" ht="41.25" customHeight="1">
      <c r="A24" s="67" t="s">
        <v>263</v>
      </c>
      <c r="B24" s="1003" t="s">
        <v>96</v>
      </c>
      <c r="C24" s="55" t="s">
        <v>28</v>
      </c>
      <c r="D24" s="1007" t="s">
        <v>92</v>
      </c>
      <c r="E24" s="57" t="s">
        <v>78</v>
      </c>
      <c r="F24" s="277" t="s">
        <v>127</v>
      </c>
      <c r="G24" s="331">
        <f t="shared" si="0"/>
        <v>1048.8638160000003</v>
      </c>
      <c r="H24" s="332" t="s">
        <v>3</v>
      </c>
      <c r="I24" s="1131">
        <f>G24/10</f>
        <v>104.88638160000002</v>
      </c>
      <c r="J24" s="2090"/>
      <c r="K24" s="630"/>
      <c r="L24" s="628"/>
      <c r="M24" s="629"/>
      <c r="N24" s="630"/>
      <c r="O24" s="628"/>
      <c r="P24" s="629"/>
      <c r="Q24" s="630"/>
      <c r="R24" s="628"/>
      <c r="S24" s="163"/>
      <c r="T24" s="962">
        <v>810.8100000000001</v>
      </c>
      <c r="U24" s="962">
        <v>729.729</v>
      </c>
      <c r="V24" s="962">
        <v>648.648</v>
      </c>
      <c r="W24" s="962">
        <v>608.1075000000001</v>
      </c>
      <c r="X24" s="962">
        <v>600.6</v>
      </c>
    </row>
    <row r="25" spans="1:24" s="836" customFormat="1" ht="41.25" customHeight="1" thickBot="1">
      <c r="A25" s="1004" t="s">
        <v>264</v>
      </c>
      <c r="B25" s="1005" t="s">
        <v>97</v>
      </c>
      <c r="C25" s="51" t="s">
        <v>28</v>
      </c>
      <c r="D25" s="1008" t="s">
        <v>52</v>
      </c>
      <c r="E25" s="53" t="s">
        <v>78</v>
      </c>
      <c r="F25" s="1006" t="s">
        <v>58</v>
      </c>
      <c r="G25" s="608">
        <f t="shared" si="0"/>
        <v>2084.2806600000004</v>
      </c>
      <c r="H25" s="630" t="s">
        <v>3</v>
      </c>
      <c r="I25" s="1129">
        <f>G25/20</f>
        <v>104.21403300000001</v>
      </c>
      <c r="J25" s="2090"/>
      <c r="K25" s="630"/>
      <c r="L25" s="628"/>
      <c r="M25" s="629"/>
      <c r="N25" s="630"/>
      <c r="O25" s="628"/>
      <c r="P25" s="629"/>
      <c r="Q25" s="630"/>
      <c r="R25" s="628"/>
      <c r="S25" s="163"/>
      <c r="T25" s="963">
        <v>1611.225</v>
      </c>
      <c r="U25" s="963">
        <v>1450.1025000000002</v>
      </c>
      <c r="V25" s="963">
        <v>1288.98</v>
      </c>
      <c r="W25" s="963">
        <v>1208.41875</v>
      </c>
      <c r="X25" s="963">
        <v>1193.5</v>
      </c>
    </row>
    <row r="26" spans="1:24" s="676" customFormat="1" ht="32.25" customHeight="1" hidden="1">
      <c r="A26" s="320" t="s">
        <v>854</v>
      </c>
      <c r="B26" s="438" t="s">
        <v>855</v>
      </c>
      <c r="C26" s="309" t="s">
        <v>28</v>
      </c>
      <c r="D26" s="445" t="s">
        <v>856</v>
      </c>
      <c r="E26" s="311" t="s">
        <v>78</v>
      </c>
      <c r="F26" s="437" t="s">
        <v>127</v>
      </c>
      <c r="G26" s="325">
        <f t="shared" si="0"/>
        <v>758.0496000000002</v>
      </c>
      <c r="H26" s="326" t="s">
        <v>3</v>
      </c>
      <c r="I26" s="1581">
        <f>G26/9</f>
        <v>84.22773333333335</v>
      </c>
      <c r="J26" s="2090"/>
      <c r="K26" s="630"/>
      <c r="L26" s="628"/>
      <c r="M26" s="629"/>
      <c r="N26" s="630"/>
      <c r="O26" s="628"/>
      <c r="P26" s="629"/>
      <c r="Q26" s="630"/>
      <c r="R26" s="628"/>
      <c r="S26" s="290"/>
      <c r="T26" s="676">
        <v>586</v>
      </c>
      <c r="U26" s="676">
        <v>531</v>
      </c>
      <c r="V26" s="676">
        <v>469</v>
      </c>
      <c r="W26" s="676">
        <v>445</v>
      </c>
      <c r="X26" s="676">
        <v>436</v>
      </c>
    </row>
    <row r="27" spans="1:24" s="676" customFormat="1" ht="32.25" customHeight="1" hidden="1" thickBot="1">
      <c r="A27" s="678" t="s">
        <v>857</v>
      </c>
      <c r="B27" s="783" t="s">
        <v>858</v>
      </c>
      <c r="C27" s="784" t="s">
        <v>28</v>
      </c>
      <c r="D27" s="785" t="s">
        <v>859</v>
      </c>
      <c r="E27" s="786" t="s">
        <v>78</v>
      </c>
      <c r="F27" s="652" t="s">
        <v>58</v>
      </c>
      <c r="G27" s="608">
        <f t="shared" si="0"/>
        <v>1505.7504000000001</v>
      </c>
      <c r="H27" s="630" t="s">
        <v>3</v>
      </c>
      <c r="I27" s="1580">
        <f>G27/18</f>
        <v>83.65280000000001</v>
      </c>
      <c r="J27" s="2090"/>
      <c r="K27" s="630"/>
      <c r="L27" s="628"/>
      <c r="M27" s="629"/>
      <c r="N27" s="630"/>
      <c r="O27" s="628"/>
      <c r="P27" s="629"/>
      <c r="Q27" s="630"/>
      <c r="R27" s="628"/>
      <c r="S27" s="290"/>
      <c r="T27" s="676">
        <v>1164</v>
      </c>
      <c r="U27" s="676">
        <v>1055</v>
      </c>
      <c r="V27" s="676">
        <v>932</v>
      </c>
      <c r="W27" s="676">
        <v>884</v>
      </c>
      <c r="X27" s="676">
        <v>867</v>
      </c>
    </row>
    <row r="28" spans="1:23" s="836" customFormat="1" ht="41.25" customHeight="1">
      <c r="A28" s="66" t="s">
        <v>265</v>
      </c>
      <c r="B28" s="313" t="s">
        <v>81</v>
      </c>
      <c r="C28" s="58" t="s">
        <v>33</v>
      </c>
      <c r="D28" s="1009" t="s">
        <v>80</v>
      </c>
      <c r="E28" s="60" t="s">
        <v>78</v>
      </c>
      <c r="F28" s="240" t="s">
        <v>58</v>
      </c>
      <c r="G28" s="681">
        <f t="shared" si="0"/>
        <v>511.53745056432496</v>
      </c>
      <c r="H28" s="682" t="s">
        <v>3</v>
      </c>
      <c r="I28" s="2062">
        <f>G28/5</f>
        <v>102.307490112865</v>
      </c>
      <c r="J28" s="2090"/>
      <c r="K28" s="630"/>
      <c r="L28" s="628"/>
      <c r="M28" s="629"/>
      <c r="N28" s="630"/>
      <c r="O28" s="628"/>
      <c r="P28" s="629"/>
      <c r="Q28" s="630"/>
      <c r="R28" s="628"/>
      <c r="S28" s="164"/>
      <c r="T28" s="964">
        <v>395.437113918</v>
      </c>
      <c r="U28" s="964">
        <v>358.18736624999997</v>
      </c>
      <c r="V28" s="964">
        <v>316.5376724999999</v>
      </c>
      <c r="W28" s="964">
        <v>300.53220657768003</v>
      </c>
    </row>
    <row r="29" spans="1:23" s="836" customFormat="1" ht="41.25" customHeight="1">
      <c r="A29" s="67" t="s">
        <v>266</v>
      </c>
      <c r="B29" s="1003" t="s">
        <v>82</v>
      </c>
      <c r="C29" s="55" t="s">
        <v>33</v>
      </c>
      <c r="D29" s="56" t="s">
        <v>35</v>
      </c>
      <c r="E29" s="57" t="s">
        <v>78</v>
      </c>
      <c r="F29" s="277" t="s">
        <v>127</v>
      </c>
      <c r="G29" s="331">
        <f t="shared" si="0"/>
        <v>924.1655623200003</v>
      </c>
      <c r="H29" s="332" t="s">
        <v>3</v>
      </c>
      <c r="I29" s="1131">
        <f>G29/10</f>
        <v>92.41655623200003</v>
      </c>
      <c r="J29" s="2090"/>
      <c r="K29" s="630"/>
      <c r="L29" s="628"/>
      <c r="M29" s="629"/>
      <c r="N29" s="630"/>
      <c r="O29" s="628"/>
      <c r="P29" s="629"/>
      <c r="Q29" s="630"/>
      <c r="R29" s="628"/>
      <c r="S29" s="163"/>
      <c r="T29" s="959">
        <v>714.4137000000001</v>
      </c>
      <c r="U29" s="959">
        <v>647.6812649999999</v>
      </c>
      <c r="V29" s="959">
        <v>572.3694899999999</v>
      </c>
      <c r="W29" s="959">
        <v>542.9544119999999</v>
      </c>
    </row>
    <row r="30" spans="1:23" s="836" customFormat="1" ht="41.25" customHeight="1">
      <c r="A30" s="446" t="s">
        <v>267</v>
      </c>
      <c r="B30" s="1029" t="s">
        <v>191</v>
      </c>
      <c r="C30" s="1559" t="s">
        <v>33</v>
      </c>
      <c r="D30" s="1560" t="s">
        <v>36</v>
      </c>
      <c r="E30" s="1032" t="s">
        <v>78</v>
      </c>
      <c r="F30" s="451" t="s">
        <v>58</v>
      </c>
      <c r="G30" s="608">
        <f t="shared" si="0"/>
        <v>1839.1111200000007</v>
      </c>
      <c r="H30" s="630" t="s">
        <v>3</v>
      </c>
      <c r="I30" s="628">
        <f>G30/20</f>
        <v>91.95555600000003</v>
      </c>
      <c r="J30" s="2090"/>
      <c r="K30" s="630"/>
      <c r="L30" s="628"/>
      <c r="M30" s="629"/>
      <c r="N30" s="630"/>
      <c r="O30" s="628"/>
      <c r="P30" s="629"/>
      <c r="Q30" s="630"/>
      <c r="R30" s="628"/>
      <c r="S30" s="163"/>
      <c r="T30" s="965">
        <v>1421.7</v>
      </c>
      <c r="U30" s="965">
        <v>1287.3</v>
      </c>
      <c r="V30" s="965">
        <v>1137.15</v>
      </c>
      <c r="W30" s="965">
        <v>1080.492</v>
      </c>
    </row>
    <row r="31" spans="1:24" s="1558" customFormat="1" ht="35.25" customHeight="1" thickBot="1">
      <c r="A31" s="1547" t="s">
        <v>1228</v>
      </c>
      <c r="B31" s="1548" t="s">
        <v>1229</v>
      </c>
      <c r="C31" s="1549" t="s">
        <v>1230</v>
      </c>
      <c r="D31" s="1550" t="s">
        <v>1231</v>
      </c>
      <c r="E31" s="1551" t="s">
        <v>78</v>
      </c>
      <c r="F31" s="1552" t="s">
        <v>58</v>
      </c>
      <c r="G31" s="1553">
        <f>T31*1.12*1.05*1.1</f>
        <v>1204.3416000000002</v>
      </c>
      <c r="H31" s="1554" t="s">
        <v>3</v>
      </c>
      <c r="I31" s="2063">
        <f>G31/13.5</f>
        <v>89.2104888888889</v>
      </c>
      <c r="J31" s="2091"/>
      <c r="K31" s="2079"/>
      <c r="L31" s="2080"/>
      <c r="M31" s="2078"/>
      <c r="N31" s="2079"/>
      <c r="O31" s="2080"/>
      <c r="P31" s="2078"/>
      <c r="Q31" s="2079"/>
      <c r="R31" s="2080"/>
      <c r="S31" s="1555"/>
      <c r="T31" s="1556">
        <v>931</v>
      </c>
      <c r="U31" s="1556">
        <v>844</v>
      </c>
      <c r="V31" s="1556">
        <v>746</v>
      </c>
      <c r="W31" s="1557">
        <v>708</v>
      </c>
      <c r="X31" s="1557">
        <v>694</v>
      </c>
    </row>
    <row r="32" spans="1:23" s="676" customFormat="1" ht="30" customHeight="1">
      <c r="A32" s="320" t="s">
        <v>1043</v>
      </c>
      <c r="B32" s="318" t="s">
        <v>1044</v>
      </c>
      <c r="C32" s="291" t="s">
        <v>1045</v>
      </c>
      <c r="D32" s="292" t="s">
        <v>35</v>
      </c>
      <c r="E32" s="293" t="s">
        <v>78</v>
      </c>
      <c r="F32" s="294" t="s">
        <v>1089</v>
      </c>
      <c r="G32" s="325">
        <f t="shared" si="0"/>
        <v>831.7490060880002</v>
      </c>
      <c r="H32" s="326" t="s">
        <v>3</v>
      </c>
      <c r="I32" s="1130">
        <f>G32/10</f>
        <v>83.17490060880002</v>
      </c>
      <c r="J32" s="2090"/>
      <c r="K32" s="630"/>
      <c r="L32" s="628"/>
      <c r="M32" s="629"/>
      <c r="N32" s="630"/>
      <c r="O32" s="628"/>
      <c r="P32" s="629"/>
      <c r="Q32" s="630"/>
      <c r="R32" s="628"/>
      <c r="S32" s="290"/>
      <c r="T32" s="964">
        <v>642.97233</v>
      </c>
      <c r="U32" s="964">
        <v>582.9131385</v>
      </c>
      <c r="V32" s="964">
        <v>515.132541</v>
      </c>
      <c r="W32" s="964">
        <v>488.65897079999996</v>
      </c>
    </row>
    <row r="33" spans="1:23" s="676" customFormat="1" ht="30" customHeight="1" thickBot="1">
      <c r="A33" s="875" t="s">
        <v>1046</v>
      </c>
      <c r="B33" s="1010" t="s">
        <v>1047</v>
      </c>
      <c r="C33" s="1011" t="s">
        <v>1045</v>
      </c>
      <c r="D33" s="1012" t="s">
        <v>36</v>
      </c>
      <c r="E33" s="1013" t="s">
        <v>78</v>
      </c>
      <c r="F33" s="1014" t="s">
        <v>58</v>
      </c>
      <c r="G33" s="608">
        <f t="shared" si="0"/>
        <v>1655.2000080000005</v>
      </c>
      <c r="H33" s="630" t="s">
        <v>3</v>
      </c>
      <c r="I33" s="1129">
        <f>G33/20</f>
        <v>82.76000040000002</v>
      </c>
      <c r="J33" s="2090"/>
      <c r="K33" s="630"/>
      <c r="L33" s="628"/>
      <c r="M33" s="629"/>
      <c r="N33" s="630"/>
      <c r="O33" s="628"/>
      <c r="P33" s="629"/>
      <c r="Q33" s="630"/>
      <c r="R33" s="628"/>
      <c r="S33" s="290"/>
      <c r="T33" s="966">
        <v>1279.53</v>
      </c>
      <c r="U33" s="966">
        <v>1158.57</v>
      </c>
      <c r="V33" s="966">
        <v>1023.4350000000001</v>
      </c>
      <c r="W33" s="966">
        <v>972.4428</v>
      </c>
    </row>
    <row r="34" spans="1:18" s="508" customFormat="1" ht="41.25" customHeight="1" thickBot="1">
      <c r="A34" s="130" t="s">
        <v>625</v>
      </c>
      <c r="B34" s="506" t="s">
        <v>626</v>
      </c>
      <c r="C34" s="256" t="s">
        <v>33</v>
      </c>
      <c r="D34" s="257" t="s">
        <v>627</v>
      </c>
      <c r="E34" s="258" t="s">
        <v>78</v>
      </c>
      <c r="F34" s="131" t="s">
        <v>127</v>
      </c>
      <c r="G34" s="323">
        <f>1066*1.12*1.05*1.1</f>
        <v>1378.9776000000004</v>
      </c>
      <c r="H34" s="507" t="s">
        <v>3</v>
      </c>
      <c r="I34" s="548">
        <f>G34/15</f>
        <v>91.93184000000002</v>
      </c>
      <c r="J34" s="2090"/>
      <c r="K34" s="2081"/>
      <c r="L34" s="628"/>
      <c r="M34" s="629"/>
      <c r="N34" s="2081"/>
      <c r="O34" s="628"/>
      <c r="P34" s="629"/>
      <c r="Q34" s="2081"/>
      <c r="R34" s="628"/>
    </row>
    <row r="35" spans="1:23" s="676" customFormat="1" ht="36.75" customHeight="1">
      <c r="A35" s="433" t="s">
        <v>611</v>
      </c>
      <c r="B35" s="434" t="s">
        <v>612</v>
      </c>
      <c r="C35" s="291" t="s">
        <v>93</v>
      </c>
      <c r="D35" s="292" t="s">
        <v>80</v>
      </c>
      <c r="E35" s="293" t="s">
        <v>1067</v>
      </c>
      <c r="F35" s="294" t="s">
        <v>127</v>
      </c>
      <c r="G35" s="681">
        <f aca="true" t="shared" si="1" ref="G35:G60">T35*1.12*1.05*1.1</f>
        <v>614.6226702000005</v>
      </c>
      <c r="H35" s="682" t="s">
        <v>3</v>
      </c>
      <c r="I35" s="2062">
        <f>G35/5</f>
        <v>122.9245340400001</v>
      </c>
      <c r="J35" s="2090"/>
      <c r="K35" s="630"/>
      <c r="L35" s="628"/>
      <c r="M35" s="629"/>
      <c r="N35" s="630"/>
      <c r="O35" s="628"/>
      <c r="P35" s="629"/>
      <c r="Q35" s="630"/>
      <c r="R35" s="628"/>
      <c r="S35" s="290"/>
      <c r="T35" s="961">
        <v>475.12575000000015</v>
      </c>
      <c r="U35" s="961">
        <v>427.6131750000002</v>
      </c>
      <c r="V35" s="961">
        <v>380.1006000000001</v>
      </c>
      <c r="W35" s="961">
        <v>356.3443125000001</v>
      </c>
    </row>
    <row r="36" spans="1:23" s="676" customFormat="1" ht="36.75" customHeight="1">
      <c r="A36" s="444" t="s">
        <v>613</v>
      </c>
      <c r="B36" s="436" t="s">
        <v>614</v>
      </c>
      <c r="C36" s="309" t="s">
        <v>93</v>
      </c>
      <c r="D36" s="445" t="s">
        <v>35</v>
      </c>
      <c r="E36" s="311" t="s">
        <v>1067</v>
      </c>
      <c r="F36" s="437" t="s">
        <v>127</v>
      </c>
      <c r="G36" s="331">
        <f t="shared" si="1"/>
        <v>1139.1506280000003</v>
      </c>
      <c r="H36" s="332" t="s">
        <v>3</v>
      </c>
      <c r="I36" s="1131">
        <f>G36/10</f>
        <v>113.91506280000003</v>
      </c>
      <c r="J36" s="2090"/>
      <c r="K36" s="630"/>
      <c r="L36" s="628"/>
      <c r="M36" s="629"/>
      <c r="N36" s="630"/>
      <c r="O36" s="628"/>
      <c r="P36" s="629"/>
      <c r="Q36" s="630"/>
      <c r="R36" s="628"/>
      <c r="S36" s="290"/>
      <c r="T36" s="967">
        <v>880.605</v>
      </c>
      <c r="U36" s="967">
        <v>792.5445000000001</v>
      </c>
      <c r="V36" s="967">
        <v>704.484</v>
      </c>
      <c r="W36" s="967">
        <v>660.45375</v>
      </c>
    </row>
    <row r="37" spans="1:23" s="836" customFormat="1" ht="41.25" customHeight="1" thickBot="1">
      <c r="A37" s="67" t="s">
        <v>268</v>
      </c>
      <c r="B37" s="1003" t="s">
        <v>94</v>
      </c>
      <c r="C37" s="55" t="s">
        <v>93</v>
      </c>
      <c r="D37" s="1007" t="s">
        <v>36</v>
      </c>
      <c r="E37" s="57" t="s">
        <v>130</v>
      </c>
      <c r="F37" s="239" t="s">
        <v>58</v>
      </c>
      <c r="G37" s="331">
        <f t="shared" si="1"/>
        <v>2276.3802600000004</v>
      </c>
      <c r="H37" s="332" t="s">
        <v>3</v>
      </c>
      <c r="I37" s="1131">
        <f>G37/20</f>
        <v>113.81901300000001</v>
      </c>
      <c r="J37" s="2090"/>
      <c r="K37" s="630"/>
      <c r="L37" s="628"/>
      <c r="M37" s="629"/>
      <c r="N37" s="630"/>
      <c r="O37" s="628"/>
      <c r="P37" s="629"/>
      <c r="Q37" s="630"/>
      <c r="R37" s="628"/>
      <c r="S37" s="163"/>
      <c r="T37" s="968">
        <v>1759.725</v>
      </c>
      <c r="U37" s="968">
        <v>1583.7525</v>
      </c>
      <c r="V37" s="968">
        <v>1407.7800000000002</v>
      </c>
      <c r="W37" s="968">
        <v>1319.79375</v>
      </c>
    </row>
    <row r="38" spans="1:24" s="676" customFormat="1" ht="28.5" customHeight="1" hidden="1">
      <c r="A38" s="435" t="s">
        <v>860</v>
      </c>
      <c r="B38" s="438" t="s">
        <v>861</v>
      </c>
      <c r="C38" s="439" t="s">
        <v>93</v>
      </c>
      <c r="D38" s="1023" t="s">
        <v>862</v>
      </c>
      <c r="E38" s="334" t="s">
        <v>78</v>
      </c>
      <c r="F38" s="437" t="s">
        <v>127</v>
      </c>
      <c r="G38" s="335">
        <f t="shared" si="1"/>
        <v>878.3544</v>
      </c>
      <c r="H38" s="1255" t="s">
        <v>3</v>
      </c>
      <c r="I38" s="2064">
        <f>G38/9</f>
        <v>97.59493333333334</v>
      </c>
      <c r="J38" s="2090"/>
      <c r="K38" s="630"/>
      <c r="L38" s="628"/>
      <c r="M38" s="629"/>
      <c r="N38" s="630"/>
      <c r="O38" s="628"/>
      <c r="P38" s="629"/>
      <c r="Q38" s="630"/>
      <c r="R38" s="628"/>
      <c r="S38" s="290"/>
      <c r="T38" s="676">
        <v>679</v>
      </c>
      <c r="U38" s="676">
        <v>616</v>
      </c>
      <c r="V38" s="676">
        <v>544</v>
      </c>
      <c r="W38" s="676">
        <v>516</v>
      </c>
      <c r="X38" s="676">
        <v>506</v>
      </c>
    </row>
    <row r="39" spans="1:24" s="676" customFormat="1" ht="28.5" customHeight="1" hidden="1" thickBot="1">
      <c r="A39" s="1571" t="s">
        <v>863</v>
      </c>
      <c r="B39" s="783" t="s">
        <v>864</v>
      </c>
      <c r="C39" s="1572" t="s">
        <v>93</v>
      </c>
      <c r="D39" s="1573" t="s">
        <v>865</v>
      </c>
      <c r="E39" s="1574" t="s">
        <v>78</v>
      </c>
      <c r="F39" s="1575" t="s">
        <v>58</v>
      </c>
      <c r="G39" s="608">
        <f t="shared" si="1"/>
        <v>1745.0664000000004</v>
      </c>
      <c r="H39" s="630" t="s">
        <v>3</v>
      </c>
      <c r="I39" s="1580">
        <f>G39/18</f>
        <v>96.94813333333336</v>
      </c>
      <c r="J39" s="2090"/>
      <c r="K39" s="630"/>
      <c r="L39" s="628"/>
      <c r="M39" s="629"/>
      <c r="N39" s="630"/>
      <c r="O39" s="628"/>
      <c r="P39" s="629"/>
      <c r="Q39" s="630"/>
      <c r="R39" s="628"/>
      <c r="S39" s="290"/>
      <c r="T39" s="676">
        <v>1349</v>
      </c>
      <c r="U39" s="676">
        <v>1223</v>
      </c>
      <c r="V39" s="676">
        <v>1081</v>
      </c>
      <c r="W39" s="676">
        <v>1025</v>
      </c>
      <c r="X39" s="676">
        <v>1005</v>
      </c>
    </row>
    <row r="40" spans="1:24" s="1558" customFormat="1" ht="31.5" customHeight="1">
      <c r="A40" s="1561" t="s">
        <v>1232</v>
      </c>
      <c r="B40" s="1562" t="s">
        <v>1233</v>
      </c>
      <c r="C40" s="1563" t="s">
        <v>1234</v>
      </c>
      <c r="D40" s="1564" t="s">
        <v>1235</v>
      </c>
      <c r="E40" s="1565" t="s">
        <v>78</v>
      </c>
      <c r="F40" s="1566" t="s">
        <v>58</v>
      </c>
      <c r="G40" s="1567">
        <f t="shared" si="1"/>
        <v>1373.8032</v>
      </c>
      <c r="H40" s="1568" t="s">
        <v>3</v>
      </c>
      <c r="I40" s="1569">
        <f>G40/13.5</f>
        <v>101.7632</v>
      </c>
      <c r="J40" s="2091"/>
      <c r="K40" s="2082"/>
      <c r="L40" s="2083"/>
      <c r="M40" s="2078"/>
      <c r="N40" s="2082"/>
      <c r="O40" s="2083"/>
      <c r="P40" s="2078"/>
      <c r="Q40" s="2082"/>
      <c r="R40" s="2083"/>
      <c r="S40" s="1570"/>
      <c r="T40" s="1570">
        <v>1062</v>
      </c>
      <c r="U40" s="1556">
        <v>963</v>
      </c>
      <c r="V40" s="1556">
        <v>851</v>
      </c>
      <c r="W40" s="1557">
        <v>807</v>
      </c>
      <c r="X40" s="1557">
        <v>791</v>
      </c>
    </row>
    <row r="41" spans="1:23" s="164" customFormat="1" ht="41.25" customHeight="1" thickBot="1">
      <c r="A41" s="678" t="s">
        <v>840</v>
      </c>
      <c r="B41" s="436" t="s">
        <v>841</v>
      </c>
      <c r="C41" s="679" t="s">
        <v>842</v>
      </c>
      <c r="D41" s="680" t="s">
        <v>52</v>
      </c>
      <c r="E41" s="607" t="s">
        <v>79</v>
      </c>
      <c r="F41" s="437" t="s">
        <v>58</v>
      </c>
      <c r="G41" s="327">
        <f t="shared" si="1"/>
        <v>1754.1216000000006</v>
      </c>
      <c r="H41" s="72" t="s">
        <v>3</v>
      </c>
      <c r="I41" s="1129">
        <f>G41/20</f>
        <v>87.70608000000003</v>
      </c>
      <c r="J41" s="2090"/>
      <c r="K41" s="658"/>
      <c r="L41" s="628"/>
      <c r="M41" s="629"/>
      <c r="N41" s="658"/>
      <c r="O41" s="628"/>
      <c r="P41" s="629"/>
      <c r="Q41" s="630"/>
      <c r="R41" s="628"/>
      <c r="S41" s="163"/>
      <c r="T41" s="164">
        <v>1356</v>
      </c>
      <c r="U41" s="164">
        <v>1261</v>
      </c>
      <c r="V41" s="164">
        <v>1198</v>
      </c>
      <c r="W41" s="164">
        <v>1138</v>
      </c>
    </row>
    <row r="42" spans="1:23" s="836" customFormat="1" ht="41.25" customHeight="1">
      <c r="A42" s="66" t="s">
        <v>269</v>
      </c>
      <c r="B42" s="313" t="s">
        <v>168</v>
      </c>
      <c r="C42" s="58" t="s">
        <v>72</v>
      </c>
      <c r="D42" s="59" t="s">
        <v>171</v>
      </c>
      <c r="E42" s="60" t="s">
        <v>78</v>
      </c>
      <c r="F42" s="240" t="s">
        <v>127</v>
      </c>
      <c r="G42" s="681">
        <f t="shared" si="1"/>
        <v>273.01428000000004</v>
      </c>
      <c r="H42" s="682" t="s">
        <v>3</v>
      </c>
      <c r="I42" s="2062">
        <f>G42/2.5</f>
        <v>109.20571200000002</v>
      </c>
      <c r="J42" s="2090"/>
      <c r="K42" s="630"/>
      <c r="L42" s="628"/>
      <c r="M42" s="629"/>
      <c r="N42" s="630"/>
      <c r="O42" s="628"/>
      <c r="P42" s="629"/>
      <c r="Q42" s="630"/>
      <c r="R42" s="628"/>
      <c r="S42" s="163"/>
      <c r="T42" s="964">
        <v>211.05</v>
      </c>
      <c r="U42" s="964">
        <v>192.15</v>
      </c>
      <c r="V42" s="964">
        <v>170.1</v>
      </c>
      <c r="W42" s="964">
        <v>159.6</v>
      </c>
    </row>
    <row r="43" spans="1:23" s="836" customFormat="1" ht="41.25" customHeight="1">
      <c r="A43" s="67" t="s">
        <v>270</v>
      </c>
      <c r="B43" s="1003" t="s">
        <v>169</v>
      </c>
      <c r="C43" s="55" t="s">
        <v>72</v>
      </c>
      <c r="D43" s="1007" t="s">
        <v>172</v>
      </c>
      <c r="E43" s="57" t="s">
        <v>78</v>
      </c>
      <c r="F43" s="244" t="s">
        <v>127</v>
      </c>
      <c r="G43" s="331">
        <f t="shared" si="1"/>
        <v>416.99196000000006</v>
      </c>
      <c r="H43" s="332" t="s">
        <v>3</v>
      </c>
      <c r="I43" s="1131">
        <f>G43/5</f>
        <v>83.39839200000002</v>
      </c>
      <c r="J43" s="2090"/>
      <c r="K43" s="630"/>
      <c r="L43" s="628"/>
      <c r="M43" s="629"/>
      <c r="N43" s="630"/>
      <c r="O43" s="628"/>
      <c r="P43" s="629"/>
      <c r="Q43" s="630"/>
      <c r="R43" s="628"/>
      <c r="S43" s="163"/>
      <c r="T43" s="959">
        <v>322.35</v>
      </c>
      <c r="U43" s="959">
        <v>292.95</v>
      </c>
      <c r="V43" s="959">
        <v>259.35</v>
      </c>
      <c r="W43" s="959">
        <v>245.7</v>
      </c>
    </row>
    <row r="44" spans="1:23" s="836" customFormat="1" ht="41.25" customHeight="1" thickBot="1">
      <c r="A44" s="1004" t="s">
        <v>271</v>
      </c>
      <c r="B44" s="1005" t="s">
        <v>170</v>
      </c>
      <c r="C44" s="51" t="s">
        <v>72</v>
      </c>
      <c r="D44" s="1008" t="s">
        <v>173</v>
      </c>
      <c r="E44" s="53" t="s">
        <v>78</v>
      </c>
      <c r="F44" s="1015" t="s">
        <v>127</v>
      </c>
      <c r="G44" s="608">
        <f t="shared" si="1"/>
        <v>835.3422000000003</v>
      </c>
      <c r="H44" s="630" t="s">
        <v>3</v>
      </c>
      <c r="I44" s="1129">
        <f>G44/10</f>
        <v>83.53422000000003</v>
      </c>
      <c r="J44" s="2090"/>
      <c r="K44" s="630"/>
      <c r="L44" s="628"/>
      <c r="M44" s="629"/>
      <c r="N44" s="630"/>
      <c r="O44" s="628"/>
      <c r="P44" s="629"/>
      <c r="Q44" s="630"/>
      <c r="R44" s="628"/>
      <c r="S44" s="163"/>
      <c r="T44" s="960">
        <v>645.75</v>
      </c>
      <c r="U44" s="960">
        <v>586.95</v>
      </c>
      <c r="V44" s="960">
        <v>517.65</v>
      </c>
      <c r="W44" s="960">
        <v>491.4</v>
      </c>
    </row>
    <row r="45" spans="1:24" s="836" customFormat="1" ht="41.25" customHeight="1">
      <c r="A45" s="876" t="s">
        <v>965</v>
      </c>
      <c r="B45" s="877" t="s">
        <v>966</v>
      </c>
      <c r="C45" s="878" t="s">
        <v>932</v>
      </c>
      <c r="D45" s="879" t="s">
        <v>171</v>
      </c>
      <c r="E45" s="880" t="s">
        <v>78</v>
      </c>
      <c r="F45" s="881" t="s">
        <v>127</v>
      </c>
      <c r="G45" s="681">
        <f t="shared" si="1"/>
        <v>260.01360000000005</v>
      </c>
      <c r="H45" s="662" t="s">
        <v>3</v>
      </c>
      <c r="I45" s="2062">
        <f>G45/2.5</f>
        <v>104.00544000000002</v>
      </c>
      <c r="J45" s="2090"/>
      <c r="K45" s="2081"/>
      <c r="L45" s="628"/>
      <c r="M45" s="629"/>
      <c r="N45" s="2081"/>
      <c r="O45" s="628"/>
      <c r="P45" s="629"/>
      <c r="Q45" s="2081"/>
      <c r="R45" s="628"/>
      <c r="S45" s="163"/>
      <c r="T45" s="836">
        <v>201</v>
      </c>
      <c r="U45" s="836">
        <v>183</v>
      </c>
      <c r="V45" s="836">
        <v>162</v>
      </c>
      <c r="W45" s="836">
        <v>152</v>
      </c>
      <c r="X45" s="836">
        <v>151</v>
      </c>
    </row>
    <row r="46" spans="1:24" s="836" customFormat="1" ht="41.25" customHeight="1">
      <c r="A46" s="882" t="s">
        <v>967</v>
      </c>
      <c r="B46" s="883" t="s">
        <v>968</v>
      </c>
      <c r="C46" s="884" t="s">
        <v>932</v>
      </c>
      <c r="D46" s="885" t="s">
        <v>172</v>
      </c>
      <c r="E46" s="886" t="s">
        <v>78</v>
      </c>
      <c r="F46" s="887" t="s">
        <v>127</v>
      </c>
      <c r="G46" s="331">
        <f t="shared" si="1"/>
        <v>397.13520000000005</v>
      </c>
      <c r="H46" s="888" t="s">
        <v>3</v>
      </c>
      <c r="I46" s="1131">
        <f>G46/5</f>
        <v>79.42704</v>
      </c>
      <c r="J46" s="2090"/>
      <c r="K46" s="2081"/>
      <c r="L46" s="628"/>
      <c r="M46" s="629"/>
      <c r="N46" s="2081"/>
      <c r="O46" s="628"/>
      <c r="P46" s="629"/>
      <c r="Q46" s="2081"/>
      <c r="R46" s="628"/>
      <c r="S46" s="163"/>
      <c r="T46" s="836">
        <v>307</v>
      </c>
      <c r="U46" s="836">
        <v>279</v>
      </c>
      <c r="V46" s="836">
        <v>247</v>
      </c>
      <c r="W46" s="836">
        <v>234</v>
      </c>
      <c r="X46" s="836">
        <v>230</v>
      </c>
    </row>
    <row r="47" spans="1:24" s="836" customFormat="1" ht="41.25" customHeight="1" thickBot="1">
      <c r="A47" s="889" t="s">
        <v>969</v>
      </c>
      <c r="B47" s="890" t="s">
        <v>970</v>
      </c>
      <c r="C47" s="891" t="s">
        <v>932</v>
      </c>
      <c r="D47" s="892" t="s">
        <v>173</v>
      </c>
      <c r="E47" s="893" t="s">
        <v>78</v>
      </c>
      <c r="F47" s="894" t="s">
        <v>58</v>
      </c>
      <c r="G47" s="335">
        <f t="shared" si="1"/>
        <v>795.5640000000002</v>
      </c>
      <c r="H47" s="895" t="s">
        <v>3</v>
      </c>
      <c r="I47" s="2065">
        <f>G47/10</f>
        <v>79.55640000000002</v>
      </c>
      <c r="J47" s="2090"/>
      <c r="K47" s="2081"/>
      <c r="L47" s="628"/>
      <c r="M47" s="629"/>
      <c r="N47" s="2081"/>
      <c r="O47" s="628"/>
      <c r="P47" s="629"/>
      <c r="Q47" s="2081"/>
      <c r="R47" s="628"/>
      <c r="S47" s="163"/>
      <c r="T47" s="836">
        <v>615</v>
      </c>
      <c r="U47" s="836">
        <v>559</v>
      </c>
      <c r="V47" s="836">
        <v>493</v>
      </c>
      <c r="W47" s="836">
        <v>468</v>
      </c>
      <c r="X47" s="836">
        <v>458</v>
      </c>
    </row>
    <row r="48" spans="1:23" s="836" customFormat="1" ht="41.25" customHeight="1">
      <c r="A48" s="66" t="s">
        <v>272</v>
      </c>
      <c r="B48" s="313" t="s">
        <v>99</v>
      </c>
      <c r="C48" s="58" t="s">
        <v>95</v>
      </c>
      <c r="D48" s="59" t="s">
        <v>90</v>
      </c>
      <c r="E48" s="60" t="s">
        <v>78</v>
      </c>
      <c r="F48" s="240" t="s">
        <v>127</v>
      </c>
      <c r="G48" s="681">
        <f t="shared" si="1"/>
        <v>563.7931160400002</v>
      </c>
      <c r="H48" s="682" t="s">
        <v>3</v>
      </c>
      <c r="I48" s="2062">
        <f>G48/5</f>
        <v>112.75862320800005</v>
      </c>
      <c r="J48" s="2090"/>
      <c r="K48" s="630"/>
      <c r="L48" s="628"/>
      <c r="M48" s="629"/>
      <c r="N48" s="630"/>
      <c r="O48" s="628"/>
      <c r="P48" s="629"/>
      <c r="Q48" s="630"/>
      <c r="R48" s="628"/>
      <c r="S48" s="163"/>
      <c r="T48" s="961">
        <v>435.83265000000006</v>
      </c>
      <c r="U48" s="961">
        <v>392.2493850000001</v>
      </c>
      <c r="V48" s="961">
        <v>348.6661200000001</v>
      </c>
      <c r="W48" s="961">
        <v>326.87448750000004</v>
      </c>
    </row>
    <row r="49" spans="1:23" s="836" customFormat="1" ht="41.25" customHeight="1">
      <c r="A49" s="67" t="s">
        <v>273</v>
      </c>
      <c r="B49" s="1003" t="s">
        <v>100</v>
      </c>
      <c r="C49" s="55" t="s">
        <v>95</v>
      </c>
      <c r="D49" s="1007" t="s">
        <v>35</v>
      </c>
      <c r="E49" s="57" t="s">
        <v>139</v>
      </c>
      <c r="F49" s="277" t="s">
        <v>127</v>
      </c>
      <c r="G49" s="331">
        <f t="shared" si="1"/>
        <v>1052.7058080000004</v>
      </c>
      <c r="H49" s="332" t="s">
        <v>3</v>
      </c>
      <c r="I49" s="1131">
        <f>G49/10</f>
        <v>105.27058080000003</v>
      </c>
      <c r="J49" s="2090"/>
      <c r="K49" s="630"/>
      <c r="L49" s="628"/>
      <c r="M49" s="629"/>
      <c r="N49" s="630"/>
      <c r="O49" s="628"/>
      <c r="P49" s="629"/>
      <c r="Q49" s="630"/>
      <c r="R49" s="628"/>
      <c r="S49" s="163"/>
      <c r="T49" s="967">
        <v>813.7800000000001</v>
      </c>
      <c r="U49" s="967">
        <v>732.402</v>
      </c>
      <c r="V49" s="967">
        <v>651.024</v>
      </c>
      <c r="W49" s="967">
        <v>610.335</v>
      </c>
    </row>
    <row r="50" spans="1:23" s="836" customFormat="1" ht="41.25" customHeight="1" thickBot="1">
      <c r="A50" s="67" t="s">
        <v>274</v>
      </c>
      <c r="B50" s="1003" t="s">
        <v>101</v>
      </c>
      <c r="C50" s="55" t="s">
        <v>95</v>
      </c>
      <c r="D50" s="1007" t="s">
        <v>36</v>
      </c>
      <c r="E50" s="57" t="s">
        <v>140</v>
      </c>
      <c r="F50" s="239" t="s">
        <v>58</v>
      </c>
      <c r="G50" s="331">
        <f t="shared" si="1"/>
        <v>2088.1226520000005</v>
      </c>
      <c r="H50" s="332" t="s">
        <v>3</v>
      </c>
      <c r="I50" s="1131">
        <f>G50/20</f>
        <v>104.40613260000002</v>
      </c>
      <c r="J50" s="2090"/>
      <c r="K50" s="630"/>
      <c r="L50" s="628"/>
      <c r="M50" s="629"/>
      <c r="N50" s="630"/>
      <c r="O50" s="628"/>
      <c r="P50" s="629"/>
      <c r="Q50" s="630"/>
      <c r="R50" s="628"/>
      <c r="S50" s="163"/>
      <c r="T50" s="968">
        <v>1614.1950000000002</v>
      </c>
      <c r="U50" s="968">
        <v>1452.7755000000002</v>
      </c>
      <c r="V50" s="968">
        <v>1291.356</v>
      </c>
      <c r="W50" s="968">
        <v>1210.64625</v>
      </c>
    </row>
    <row r="51" spans="1:24" s="676" customFormat="1" ht="30.75" customHeight="1" hidden="1">
      <c r="A51" s="435" t="s">
        <v>866</v>
      </c>
      <c r="B51" s="438" t="s">
        <v>867</v>
      </c>
      <c r="C51" s="439" t="s">
        <v>95</v>
      </c>
      <c r="D51" s="1023" t="s">
        <v>862</v>
      </c>
      <c r="E51" s="334" t="s">
        <v>78</v>
      </c>
      <c r="F51" s="437" t="s">
        <v>127</v>
      </c>
      <c r="G51" s="335">
        <f t="shared" si="1"/>
        <v>816.2616000000002</v>
      </c>
      <c r="H51" s="895" t="s">
        <v>3</v>
      </c>
      <c r="I51" s="2064">
        <f>G51/9</f>
        <v>90.69573333333335</v>
      </c>
      <c r="J51" s="2090"/>
      <c r="K51" s="2081"/>
      <c r="L51" s="628"/>
      <c r="M51" s="629"/>
      <c r="N51" s="2081"/>
      <c r="O51" s="628"/>
      <c r="P51" s="629"/>
      <c r="Q51" s="2081"/>
      <c r="R51" s="628"/>
      <c r="S51" s="290"/>
      <c r="T51" s="676">
        <v>631</v>
      </c>
      <c r="U51" s="676">
        <v>572</v>
      </c>
      <c r="V51" s="676">
        <v>505</v>
      </c>
      <c r="W51" s="676">
        <v>479</v>
      </c>
      <c r="X51" s="676">
        <v>470</v>
      </c>
    </row>
    <row r="52" spans="1:24" s="676" customFormat="1" ht="30.75" customHeight="1" hidden="1" thickBot="1">
      <c r="A52" s="1571" t="s">
        <v>868</v>
      </c>
      <c r="B52" s="783" t="s">
        <v>869</v>
      </c>
      <c r="C52" s="1572" t="s">
        <v>95</v>
      </c>
      <c r="D52" s="1573" t="s">
        <v>865</v>
      </c>
      <c r="E52" s="1574" t="s">
        <v>78</v>
      </c>
      <c r="F52" s="1575" t="s">
        <v>58</v>
      </c>
      <c r="G52" s="1576">
        <f t="shared" si="1"/>
        <v>1620.8808000000004</v>
      </c>
      <c r="H52" s="1577" t="s">
        <v>3</v>
      </c>
      <c r="I52" s="1580">
        <f>G52/18</f>
        <v>90.04893333333335</v>
      </c>
      <c r="J52" s="2090"/>
      <c r="K52" s="2081"/>
      <c r="L52" s="628"/>
      <c r="M52" s="629"/>
      <c r="N52" s="2081"/>
      <c r="O52" s="628"/>
      <c r="P52" s="629"/>
      <c r="Q52" s="2081"/>
      <c r="R52" s="628"/>
      <c r="S52" s="290"/>
      <c r="T52" s="676">
        <v>1253</v>
      </c>
      <c r="U52" s="676">
        <v>1136</v>
      </c>
      <c r="V52" s="676">
        <v>1004</v>
      </c>
      <c r="W52" s="676">
        <v>952</v>
      </c>
      <c r="X52" s="676">
        <v>933</v>
      </c>
    </row>
    <row r="53" spans="1:24" s="1558" customFormat="1" ht="35.25" customHeight="1">
      <c r="A53" s="1561" t="s">
        <v>1236</v>
      </c>
      <c r="B53" s="1562" t="s">
        <v>1237</v>
      </c>
      <c r="C53" s="1563" t="s">
        <v>1238</v>
      </c>
      <c r="D53" s="1564" t="s">
        <v>1235</v>
      </c>
      <c r="E53" s="1565" t="s">
        <v>78</v>
      </c>
      <c r="F53" s="1566" t="s">
        <v>58</v>
      </c>
      <c r="G53" s="1567">
        <f>T53*1.12*1.05*1.1</f>
        <v>1267.7280000000003</v>
      </c>
      <c r="H53" s="1578" t="s">
        <v>3</v>
      </c>
      <c r="I53" s="2066">
        <f>G53/13.5</f>
        <v>93.9057777777778</v>
      </c>
      <c r="J53" s="2091"/>
      <c r="K53" s="2079"/>
      <c r="L53" s="2080"/>
      <c r="M53" s="2078"/>
      <c r="N53" s="2079"/>
      <c r="O53" s="2080"/>
      <c r="P53" s="2078"/>
      <c r="Q53" s="2079"/>
      <c r="R53" s="2080"/>
      <c r="S53" s="1570"/>
      <c r="T53" s="1570">
        <v>980</v>
      </c>
      <c r="U53" s="1556">
        <v>889</v>
      </c>
      <c r="V53" s="1556">
        <v>785</v>
      </c>
      <c r="W53" s="1557">
        <v>745</v>
      </c>
      <c r="X53" s="1557">
        <v>730</v>
      </c>
    </row>
    <row r="54" spans="1:23" s="782" customFormat="1" ht="41.25" customHeight="1" thickBot="1">
      <c r="A54" s="678" t="s">
        <v>843</v>
      </c>
      <c r="B54" s="438" t="s">
        <v>844</v>
      </c>
      <c r="C54" s="679" t="s">
        <v>707</v>
      </c>
      <c r="D54" s="680" t="s">
        <v>197</v>
      </c>
      <c r="E54" s="607" t="s">
        <v>79</v>
      </c>
      <c r="F54" s="437" t="s">
        <v>58</v>
      </c>
      <c r="G54" s="328">
        <f t="shared" si="1"/>
        <v>1908.0600000000006</v>
      </c>
      <c r="H54" s="699" t="s">
        <v>3</v>
      </c>
      <c r="I54" s="1129">
        <f>G54/25</f>
        <v>76.32240000000003</v>
      </c>
      <c r="J54" s="2090"/>
      <c r="K54" s="658"/>
      <c r="L54" s="628"/>
      <c r="M54" s="629"/>
      <c r="N54" s="658"/>
      <c r="O54" s="628"/>
      <c r="P54" s="629"/>
      <c r="Q54" s="630"/>
      <c r="R54" s="628"/>
      <c r="S54" s="684"/>
      <c r="T54" s="782">
        <v>1475</v>
      </c>
      <c r="U54" s="782">
        <v>1372</v>
      </c>
      <c r="V54" s="782">
        <v>1303</v>
      </c>
      <c r="W54" s="782">
        <v>1238</v>
      </c>
    </row>
    <row r="55" spans="1:23" s="782" customFormat="1" ht="41.25" customHeight="1">
      <c r="A55" s="96" t="s">
        <v>275</v>
      </c>
      <c r="B55" s="687" t="s">
        <v>83</v>
      </c>
      <c r="C55" s="58" t="s">
        <v>34</v>
      </c>
      <c r="D55" s="59" t="s">
        <v>80</v>
      </c>
      <c r="E55" s="60" t="s">
        <v>78</v>
      </c>
      <c r="F55" s="242" t="s">
        <v>127</v>
      </c>
      <c r="G55" s="681">
        <f t="shared" si="1"/>
        <v>546.574262246813</v>
      </c>
      <c r="H55" s="682" t="s">
        <v>3</v>
      </c>
      <c r="I55" s="2062">
        <f>G55/5</f>
        <v>109.31485244936259</v>
      </c>
      <c r="J55" s="2090"/>
      <c r="K55" s="630"/>
      <c r="L55" s="628"/>
      <c r="M55" s="629"/>
      <c r="N55" s="630"/>
      <c r="O55" s="628"/>
      <c r="P55" s="629"/>
      <c r="Q55" s="630"/>
      <c r="R55" s="628"/>
      <c r="S55" s="685"/>
      <c r="T55" s="964">
        <v>422.521847748</v>
      </c>
      <c r="U55" s="964">
        <v>382.72074749999996</v>
      </c>
      <c r="V55" s="964">
        <v>338.2183349999999</v>
      </c>
      <c r="W55" s="964">
        <v>321.11660428848</v>
      </c>
    </row>
    <row r="56" spans="1:23" s="782" customFormat="1" ht="41.25" customHeight="1">
      <c r="A56" s="104" t="s">
        <v>276</v>
      </c>
      <c r="B56" s="1016" t="s">
        <v>15</v>
      </c>
      <c r="C56" s="55" t="s">
        <v>34</v>
      </c>
      <c r="D56" s="56" t="s">
        <v>35</v>
      </c>
      <c r="E56" s="57" t="s">
        <v>78</v>
      </c>
      <c r="F56" s="659" t="s">
        <v>127</v>
      </c>
      <c r="G56" s="331">
        <f t="shared" si="1"/>
        <v>1000.7236562400002</v>
      </c>
      <c r="H56" s="332" t="s">
        <v>3</v>
      </c>
      <c r="I56" s="1131">
        <f>G56/10</f>
        <v>100.07236562400001</v>
      </c>
      <c r="J56" s="2090"/>
      <c r="K56" s="630"/>
      <c r="L56" s="628"/>
      <c r="M56" s="629"/>
      <c r="N56" s="630"/>
      <c r="O56" s="628"/>
      <c r="P56" s="629"/>
      <c r="Q56" s="630"/>
      <c r="R56" s="628"/>
      <c r="S56" s="684"/>
      <c r="T56" s="959">
        <v>773.5958999999999</v>
      </c>
      <c r="U56" s="959">
        <v>700.7979824999999</v>
      </c>
      <c r="V56" s="959">
        <v>619.3098449999999</v>
      </c>
      <c r="W56" s="959">
        <v>587.932884</v>
      </c>
    </row>
    <row r="57" spans="1:23" s="782" customFormat="1" ht="41.25" customHeight="1" thickBot="1">
      <c r="A57" s="99" t="s">
        <v>277</v>
      </c>
      <c r="B57" s="314" t="s">
        <v>13</v>
      </c>
      <c r="C57" s="51" t="s">
        <v>34</v>
      </c>
      <c r="D57" s="52" t="s">
        <v>36</v>
      </c>
      <c r="E57" s="53" t="s">
        <v>78</v>
      </c>
      <c r="F57" s="577" t="s">
        <v>58</v>
      </c>
      <c r="G57" s="608">
        <f t="shared" si="1"/>
        <v>1992.0297555219609</v>
      </c>
      <c r="H57" s="630" t="s">
        <v>3</v>
      </c>
      <c r="I57" s="1129">
        <f>G57/20</f>
        <v>99.60148777609804</v>
      </c>
      <c r="J57" s="2090"/>
      <c r="K57" s="630"/>
      <c r="L57" s="628"/>
      <c r="M57" s="629"/>
      <c r="N57" s="630"/>
      <c r="O57" s="628"/>
      <c r="P57" s="629"/>
      <c r="Q57" s="630"/>
      <c r="R57" s="628"/>
      <c r="S57" s="684"/>
      <c r="T57" s="965">
        <v>1539.9116848500003</v>
      </c>
      <c r="U57" s="965">
        <v>1389.5612931816</v>
      </c>
      <c r="V57" s="965">
        <v>1227.9843986255996</v>
      </c>
      <c r="W57" s="965">
        <v>1170.3328804860002</v>
      </c>
    </row>
    <row r="58" spans="1:23" s="701" customFormat="1" ht="35.25" customHeight="1">
      <c r="A58" s="1017" t="s">
        <v>1048</v>
      </c>
      <c r="B58" s="434" t="s">
        <v>1049</v>
      </c>
      <c r="C58" s="1018" t="s">
        <v>1050</v>
      </c>
      <c r="D58" s="1019" t="s">
        <v>35</v>
      </c>
      <c r="E58" s="1020" t="s">
        <v>78</v>
      </c>
      <c r="F58" s="294" t="s">
        <v>1089</v>
      </c>
      <c r="G58" s="325">
        <f t="shared" si="1"/>
        <v>900.6512906160001</v>
      </c>
      <c r="H58" s="326" t="s">
        <v>3</v>
      </c>
      <c r="I58" s="1130">
        <f>G58/10</f>
        <v>90.0651290616</v>
      </c>
      <c r="J58" s="2090"/>
      <c r="K58" s="630"/>
      <c r="L58" s="628"/>
      <c r="M58" s="629"/>
      <c r="N58" s="630"/>
      <c r="O58" s="628"/>
      <c r="P58" s="629"/>
      <c r="Q58" s="630"/>
      <c r="R58" s="628"/>
      <c r="S58" s="508"/>
      <c r="T58" s="969">
        <v>696.2363099999999</v>
      </c>
      <c r="U58" s="969">
        <v>630.7181842499999</v>
      </c>
      <c r="V58" s="969">
        <v>557.3788604999999</v>
      </c>
      <c r="W58" s="969">
        <v>529.1395956</v>
      </c>
    </row>
    <row r="59" spans="1:23" s="701" customFormat="1" ht="35.25" customHeight="1" thickBot="1">
      <c r="A59" s="625" t="s">
        <v>1051</v>
      </c>
      <c r="B59" s="1021" t="s">
        <v>1052</v>
      </c>
      <c r="C59" s="784" t="s">
        <v>1050</v>
      </c>
      <c r="D59" s="308" t="s">
        <v>36</v>
      </c>
      <c r="E59" s="786" t="s">
        <v>78</v>
      </c>
      <c r="F59" s="652" t="s">
        <v>58</v>
      </c>
      <c r="G59" s="608">
        <f t="shared" si="1"/>
        <v>1792.8267799697649</v>
      </c>
      <c r="H59" s="630" t="s">
        <v>3</v>
      </c>
      <c r="I59" s="1129">
        <f>G59/20</f>
        <v>89.64133899848824</v>
      </c>
      <c r="J59" s="2090"/>
      <c r="K59" s="630"/>
      <c r="L59" s="628"/>
      <c r="M59" s="629"/>
      <c r="N59" s="630"/>
      <c r="O59" s="628"/>
      <c r="P59" s="629"/>
      <c r="Q59" s="630"/>
      <c r="R59" s="628"/>
      <c r="S59" s="508"/>
      <c r="T59" s="960">
        <v>1385.9205163650004</v>
      </c>
      <c r="U59" s="960">
        <v>1250.6051638634399</v>
      </c>
      <c r="V59" s="960">
        <v>1105.1859587630397</v>
      </c>
      <c r="W59" s="960">
        <v>1053.2995924374002</v>
      </c>
    </row>
    <row r="60" spans="1:23" s="685" customFormat="1" ht="41.25" customHeight="1" thickBot="1">
      <c r="A60" s="444" t="s">
        <v>845</v>
      </c>
      <c r="B60" s="436" t="s">
        <v>846</v>
      </c>
      <c r="C60" s="309" t="s">
        <v>671</v>
      </c>
      <c r="D60" s="310" t="s">
        <v>833</v>
      </c>
      <c r="E60" s="311" t="s">
        <v>79</v>
      </c>
      <c r="F60" s="312" t="s">
        <v>58</v>
      </c>
      <c r="G60" s="681">
        <f t="shared" si="1"/>
        <v>1754.1216000000006</v>
      </c>
      <c r="H60" s="683" t="s">
        <v>3</v>
      </c>
      <c r="I60" s="2062">
        <f>G60/20</f>
        <v>87.70608000000003</v>
      </c>
      <c r="J60" s="2090"/>
      <c r="K60" s="658"/>
      <c r="L60" s="628"/>
      <c r="M60" s="629"/>
      <c r="N60" s="658"/>
      <c r="O60" s="628"/>
      <c r="P60" s="629"/>
      <c r="Q60" s="630"/>
      <c r="R60" s="628"/>
      <c r="S60" s="684"/>
      <c r="T60" s="685">
        <v>1356</v>
      </c>
      <c r="U60" s="685">
        <v>1261</v>
      </c>
      <c r="V60" s="685">
        <v>1198</v>
      </c>
      <c r="W60" s="685">
        <v>1138</v>
      </c>
    </row>
    <row r="61" spans="1:23" s="676" customFormat="1" ht="36.75" customHeight="1">
      <c r="A61" s="433" t="s">
        <v>619</v>
      </c>
      <c r="B61" s="434" t="s">
        <v>620</v>
      </c>
      <c r="C61" s="292" t="s">
        <v>37</v>
      </c>
      <c r="D61" s="292" t="s">
        <v>80</v>
      </c>
      <c r="E61" s="293" t="s">
        <v>78</v>
      </c>
      <c r="F61" s="294" t="s">
        <v>127</v>
      </c>
      <c r="G61" s="681">
        <f aca="true" t="shared" si="2" ref="G61:G71">T61*1.12*1.05*1.1</f>
        <v>525.5521752373202</v>
      </c>
      <c r="H61" s="682" t="s">
        <v>3</v>
      </c>
      <c r="I61" s="2067">
        <f>G61/5</f>
        <v>105.11043504746404</v>
      </c>
      <c r="J61" s="2090"/>
      <c r="K61" s="630"/>
      <c r="L61" s="2084"/>
      <c r="M61" s="629"/>
      <c r="N61" s="630"/>
      <c r="O61" s="2084"/>
      <c r="P61" s="629"/>
      <c r="Q61" s="630"/>
      <c r="R61" s="2084"/>
      <c r="S61" s="290"/>
      <c r="T61" s="964">
        <v>406.27100745</v>
      </c>
      <c r="U61" s="964">
        <v>368.0007187499999</v>
      </c>
      <c r="V61" s="964">
        <v>325.2099374999999</v>
      </c>
      <c r="W61" s="964">
        <v>308.76596566200004</v>
      </c>
    </row>
    <row r="62" spans="1:23" s="676" customFormat="1" ht="36.75" customHeight="1">
      <c r="A62" s="435" t="s">
        <v>621</v>
      </c>
      <c r="B62" s="436" t="s">
        <v>622</v>
      </c>
      <c r="C62" s="310" t="s">
        <v>37</v>
      </c>
      <c r="D62" s="310" t="s">
        <v>35</v>
      </c>
      <c r="E62" s="311" t="s">
        <v>78</v>
      </c>
      <c r="F62" s="437" t="s">
        <v>127</v>
      </c>
      <c r="G62" s="331">
        <f t="shared" si="2"/>
        <v>977.0271033600002</v>
      </c>
      <c r="H62" s="332" t="s">
        <v>3</v>
      </c>
      <c r="I62" s="2068">
        <f>G62/10</f>
        <v>97.70271033600002</v>
      </c>
      <c r="J62" s="2090"/>
      <c r="K62" s="630"/>
      <c r="L62" s="2084"/>
      <c r="M62" s="629"/>
      <c r="N62" s="630"/>
      <c r="O62" s="2084"/>
      <c r="P62" s="629"/>
      <c r="Q62" s="630"/>
      <c r="R62" s="2084"/>
      <c r="S62" s="290"/>
      <c r="T62" s="959">
        <v>755.2776</v>
      </c>
      <c r="U62" s="970">
        <v>683.6635575</v>
      </c>
      <c r="V62" s="970">
        <v>604.167795</v>
      </c>
      <c r="W62" s="970">
        <v>574.010976</v>
      </c>
    </row>
    <row r="63" spans="1:23" s="836" customFormat="1" ht="41.25" customHeight="1" thickBot="1">
      <c r="A63" s="1004" t="s">
        <v>278</v>
      </c>
      <c r="B63" s="1022" t="s">
        <v>14</v>
      </c>
      <c r="C63" s="52" t="s">
        <v>37</v>
      </c>
      <c r="D63" s="52" t="s">
        <v>36</v>
      </c>
      <c r="E63" s="53" t="s">
        <v>78</v>
      </c>
      <c r="F63" s="1006" t="s">
        <v>58</v>
      </c>
      <c r="G63" s="608">
        <f t="shared" si="2"/>
        <v>1943.1455897422804</v>
      </c>
      <c r="H63" s="630" t="s">
        <v>3</v>
      </c>
      <c r="I63" s="1129">
        <f>G63/20</f>
        <v>97.15727948711402</v>
      </c>
      <c r="J63" s="2090"/>
      <c r="K63" s="630"/>
      <c r="L63" s="628"/>
      <c r="M63" s="629"/>
      <c r="N63" s="630"/>
      <c r="O63" s="628"/>
      <c r="P63" s="629"/>
      <c r="Q63" s="630"/>
      <c r="R63" s="628"/>
      <c r="S63" s="163"/>
      <c r="T63" s="960">
        <v>1502.12244105</v>
      </c>
      <c r="U63" s="960">
        <v>1355.5574784675</v>
      </c>
      <c r="V63" s="960">
        <v>1197.9345158549997</v>
      </c>
      <c r="W63" s="960">
        <v>1141.613055198</v>
      </c>
    </row>
    <row r="64" spans="1:23" s="676" customFormat="1" ht="36" customHeight="1">
      <c r="A64" s="433" t="s">
        <v>1053</v>
      </c>
      <c r="B64" s="434" t="s">
        <v>1054</v>
      </c>
      <c r="C64" s="291" t="s">
        <v>1055</v>
      </c>
      <c r="D64" s="292" t="s">
        <v>35</v>
      </c>
      <c r="E64" s="293" t="s">
        <v>78</v>
      </c>
      <c r="F64" s="294" t="s">
        <v>1089</v>
      </c>
      <c r="G64" s="325">
        <f t="shared" si="2"/>
        <v>879.3243930240003</v>
      </c>
      <c r="H64" s="326" t="s">
        <v>3</v>
      </c>
      <c r="I64" s="2069">
        <f>G64/10</f>
        <v>87.93243930240003</v>
      </c>
      <c r="J64" s="2090"/>
      <c r="K64" s="630"/>
      <c r="L64" s="2084"/>
      <c r="M64" s="629"/>
      <c r="N64" s="630"/>
      <c r="O64" s="2084"/>
      <c r="P64" s="629"/>
      <c r="Q64" s="630"/>
      <c r="R64" s="2084"/>
      <c r="S64" s="290"/>
      <c r="T64" s="971">
        <v>679.7498400000001</v>
      </c>
      <c r="U64" s="971">
        <v>615.29720175</v>
      </c>
      <c r="V64" s="971">
        <v>543.7510155</v>
      </c>
      <c r="W64" s="971">
        <v>516.6098784000001</v>
      </c>
    </row>
    <row r="65" spans="1:23" s="676" customFormat="1" ht="36" customHeight="1" thickBot="1">
      <c r="A65" s="678" t="s">
        <v>1056</v>
      </c>
      <c r="B65" s="626" t="s">
        <v>1057</v>
      </c>
      <c r="C65" s="679" t="s">
        <v>1055</v>
      </c>
      <c r="D65" s="680" t="s">
        <v>36</v>
      </c>
      <c r="E65" s="607" t="s">
        <v>78</v>
      </c>
      <c r="F65" s="437" t="s">
        <v>58</v>
      </c>
      <c r="G65" s="608">
        <f t="shared" si="2"/>
        <v>1748.8310307680526</v>
      </c>
      <c r="H65" s="630" t="s">
        <v>3</v>
      </c>
      <c r="I65" s="1129">
        <f>G65/20</f>
        <v>87.44155153840263</v>
      </c>
      <c r="J65" s="2090"/>
      <c r="K65" s="630"/>
      <c r="L65" s="628"/>
      <c r="M65" s="629"/>
      <c r="N65" s="630"/>
      <c r="O65" s="628"/>
      <c r="P65" s="629"/>
      <c r="Q65" s="630"/>
      <c r="R65" s="628"/>
      <c r="S65" s="290"/>
      <c r="T65" s="971">
        <v>1351.910196945</v>
      </c>
      <c r="U65" s="971">
        <v>1220.00173062075</v>
      </c>
      <c r="V65" s="971">
        <v>1078.1410642694998</v>
      </c>
      <c r="W65" s="971">
        <v>1027.4517496782</v>
      </c>
    </row>
    <row r="66" spans="1:23" s="676" customFormat="1" ht="33.75" customHeight="1">
      <c r="A66" s="320" t="s">
        <v>598</v>
      </c>
      <c r="B66" s="318" t="s">
        <v>599</v>
      </c>
      <c r="C66" s="291" t="s">
        <v>446</v>
      </c>
      <c r="D66" s="292" t="s">
        <v>246</v>
      </c>
      <c r="E66" s="293" t="s">
        <v>600</v>
      </c>
      <c r="F66" s="294" t="s">
        <v>58</v>
      </c>
      <c r="G66" s="681">
        <f t="shared" si="2"/>
        <v>698.1559200000002</v>
      </c>
      <c r="H66" s="682" t="s">
        <v>3</v>
      </c>
      <c r="I66" s="2067">
        <f>G66/6</f>
        <v>116.35932000000003</v>
      </c>
      <c r="J66" s="2090"/>
      <c r="K66" s="630"/>
      <c r="L66" s="2084"/>
      <c r="M66" s="629"/>
      <c r="N66" s="630"/>
      <c r="O66" s="2084"/>
      <c r="P66" s="629"/>
      <c r="Q66" s="630"/>
      <c r="R66" s="2084"/>
      <c r="S66" s="290"/>
      <c r="T66" s="964">
        <v>539.7</v>
      </c>
      <c r="U66" s="964">
        <v>486.15</v>
      </c>
      <c r="V66" s="964">
        <v>431.55</v>
      </c>
      <c r="W66" s="964">
        <v>410.55</v>
      </c>
    </row>
    <row r="67" spans="1:23" s="676" customFormat="1" ht="40.5" customHeight="1">
      <c r="A67" s="435" t="s">
        <v>623</v>
      </c>
      <c r="B67" s="438" t="s">
        <v>624</v>
      </c>
      <c r="C67" s="439" t="s">
        <v>446</v>
      </c>
      <c r="D67" s="440" t="s">
        <v>87</v>
      </c>
      <c r="E67" s="1023" t="s">
        <v>600</v>
      </c>
      <c r="F67" s="441" t="s">
        <v>58</v>
      </c>
      <c r="G67" s="331">
        <f t="shared" si="2"/>
        <v>1394.9535600000002</v>
      </c>
      <c r="H67" s="332" t="s">
        <v>3</v>
      </c>
      <c r="I67" s="2068">
        <f>G67/12</f>
        <v>116.24613000000001</v>
      </c>
      <c r="J67" s="2090"/>
      <c r="K67" s="630"/>
      <c r="L67" s="2084"/>
      <c r="M67" s="629"/>
      <c r="N67" s="630"/>
      <c r="O67" s="2084"/>
      <c r="P67" s="629"/>
      <c r="Q67" s="630"/>
      <c r="R67" s="2084"/>
      <c r="S67" s="290"/>
      <c r="T67" s="958">
        <v>1078.35</v>
      </c>
      <c r="U67" s="958">
        <v>970.5150000000001</v>
      </c>
      <c r="V67" s="958">
        <v>862.6800000000001</v>
      </c>
      <c r="W67" s="958">
        <v>819.5459999999999</v>
      </c>
    </row>
    <row r="68" spans="1:23" s="836" customFormat="1" ht="41.25" customHeight="1" thickBot="1">
      <c r="A68" s="99" t="s">
        <v>447</v>
      </c>
      <c r="B68" s="314" t="s">
        <v>448</v>
      </c>
      <c r="C68" s="51" t="s">
        <v>446</v>
      </c>
      <c r="D68" s="52" t="s">
        <v>39</v>
      </c>
      <c r="E68" s="1024" t="s">
        <v>78</v>
      </c>
      <c r="F68" s="278" t="s">
        <v>58</v>
      </c>
      <c r="G68" s="608">
        <f t="shared" si="2"/>
        <v>2770.891200000001</v>
      </c>
      <c r="H68" s="630" t="s">
        <v>3</v>
      </c>
      <c r="I68" s="1129">
        <f>G68/24</f>
        <v>115.45380000000004</v>
      </c>
      <c r="J68" s="2090"/>
      <c r="K68" s="630"/>
      <c r="L68" s="628"/>
      <c r="M68" s="629"/>
      <c r="N68" s="630"/>
      <c r="O68" s="628"/>
      <c r="P68" s="629"/>
      <c r="Q68" s="630"/>
      <c r="R68" s="628"/>
      <c r="S68" s="163"/>
      <c r="T68" s="966">
        <v>2142</v>
      </c>
      <c r="U68" s="966">
        <v>1927.8</v>
      </c>
      <c r="V68" s="966">
        <v>1713.6</v>
      </c>
      <c r="W68" s="966">
        <v>1627.92</v>
      </c>
    </row>
    <row r="69" spans="1:23" s="676" customFormat="1" ht="28.5" customHeight="1" thickBot="1">
      <c r="A69" s="320" t="s">
        <v>526</v>
      </c>
      <c r="B69" s="1025" t="s">
        <v>174</v>
      </c>
      <c r="C69" s="291" t="s">
        <v>38</v>
      </c>
      <c r="D69" s="292" t="s">
        <v>527</v>
      </c>
      <c r="E69" s="293" t="s">
        <v>78</v>
      </c>
      <c r="F69" s="294" t="s">
        <v>58</v>
      </c>
      <c r="G69" s="681">
        <f t="shared" si="2"/>
        <v>1347.3150972073622</v>
      </c>
      <c r="H69" s="682" t="s">
        <v>3</v>
      </c>
      <c r="I69" s="548">
        <f>G69/12</f>
        <v>112.27625810061352</v>
      </c>
      <c r="J69" s="2090"/>
      <c r="K69" s="630"/>
      <c r="L69" s="628"/>
      <c r="M69" s="629"/>
      <c r="N69" s="630"/>
      <c r="O69" s="628"/>
      <c r="P69" s="629"/>
      <c r="Q69" s="630"/>
      <c r="R69" s="628"/>
      <c r="S69" s="290"/>
      <c r="T69" s="964">
        <v>1041.5237300613496</v>
      </c>
      <c r="U69" s="964">
        <v>940.185872392638</v>
      </c>
      <c r="V69" s="964">
        <v>830.8619337423311</v>
      </c>
      <c r="W69" s="964">
        <v>806.3997479999999</v>
      </c>
    </row>
    <row r="70" spans="1:23" s="836" customFormat="1" ht="41.25" customHeight="1">
      <c r="A70" s="66" t="s">
        <v>279</v>
      </c>
      <c r="B70" s="313" t="s">
        <v>174</v>
      </c>
      <c r="C70" s="58" t="s">
        <v>38</v>
      </c>
      <c r="D70" s="59" t="s">
        <v>311</v>
      </c>
      <c r="E70" s="60" t="s">
        <v>78</v>
      </c>
      <c r="F70" s="240" t="s">
        <v>58</v>
      </c>
      <c r="G70" s="325">
        <f t="shared" si="2"/>
        <v>2745.1545105600003</v>
      </c>
      <c r="H70" s="326" t="s">
        <v>3</v>
      </c>
      <c r="I70" s="1130">
        <f>G70/24</f>
        <v>114.38143794000001</v>
      </c>
      <c r="J70" s="2090"/>
      <c r="K70" s="630"/>
      <c r="L70" s="628"/>
      <c r="M70" s="629"/>
      <c r="N70" s="630"/>
      <c r="O70" s="628"/>
      <c r="P70" s="629"/>
      <c r="Q70" s="630"/>
      <c r="R70" s="628"/>
      <c r="S70" s="163"/>
      <c r="T70" s="958">
        <v>2122.1046</v>
      </c>
      <c r="U70" s="958">
        <v>1915.6287149999998</v>
      </c>
      <c r="V70" s="958">
        <v>1692.8811899999996</v>
      </c>
      <c r="W70" s="958">
        <v>1612.7994959999999</v>
      </c>
    </row>
    <row r="71" spans="1:23" s="836" customFormat="1" ht="41.25" customHeight="1" thickBot="1">
      <c r="A71" s="71" t="s">
        <v>280</v>
      </c>
      <c r="B71" s="1026" t="s">
        <v>281</v>
      </c>
      <c r="C71" s="51" t="s">
        <v>38</v>
      </c>
      <c r="D71" s="52" t="s">
        <v>312</v>
      </c>
      <c r="E71" s="53" t="s">
        <v>78</v>
      </c>
      <c r="F71" s="241" t="s">
        <v>58</v>
      </c>
      <c r="G71" s="608">
        <f t="shared" si="2"/>
        <v>5462.80552587924</v>
      </c>
      <c r="H71" s="630" t="s">
        <v>3</v>
      </c>
      <c r="I71" s="1129">
        <f>G71/48</f>
        <v>113.8084484558175</v>
      </c>
      <c r="J71" s="2090"/>
      <c r="K71" s="630"/>
      <c r="L71" s="628"/>
      <c r="M71" s="629"/>
      <c r="N71" s="630"/>
      <c r="O71" s="628"/>
      <c r="P71" s="629"/>
      <c r="Q71" s="630"/>
      <c r="R71" s="628"/>
      <c r="S71" s="163"/>
      <c r="T71" s="960">
        <v>4222.94799465</v>
      </c>
      <c r="U71" s="960">
        <v>3801.9940938441005</v>
      </c>
      <c r="V71" s="960">
        <v>3359.9017573506</v>
      </c>
      <c r="W71" s="960">
        <v>3209.4404759339996</v>
      </c>
    </row>
    <row r="72" spans="1:18" s="695" customFormat="1" ht="39.75" customHeight="1" thickBot="1">
      <c r="A72" s="690" t="s">
        <v>582</v>
      </c>
      <c r="B72" s="691" t="s">
        <v>583</v>
      </c>
      <c r="C72" s="692" t="s">
        <v>584</v>
      </c>
      <c r="D72" s="693" t="s">
        <v>527</v>
      </c>
      <c r="E72" s="693" t="s">
        <v>78</v>
      </c>
      <c r="F72" s="694" t="s">
        <v>58</v>
      </c>
      <c r="G72" s="325">
        <f>880*1.12*1.05*1.1</f>
        <v>1138.3680000000002</v>
      </c>
      <c r="H72" s="102" t="s">
        <v>3</v>
      </c>
      <c r="I72" s="2070">
        <f>G72/12</f>
        <v>94.86400000000002</v>
      </c>
      <c r="J72" s="2090"/>
      <c r="K72" s="658"/>
      <c r="L72" s="2085"/>
      <c r="M72" s="629"/>
      <c r="N72" s="658"/>
      <c r="O72" s="2085"/>
      <c r="P72" s="629"/>
      <c r="Q72" s="630"/>
      <c r="R72" s="2085"/>
    </row>
    <row r="73" spans="1:24" s="836" customFormat="1" ht="41.25" customHeight="1">
      <c r="A73" s="433" t="s">
        <v>971</v>
      </c>
      <c r="B73" s="434" t="s">
        <v>972</v>
      </c>
      <c r="C73" s="291" t="s">
        <v>973</v>
      </c>
      <c r="D73" s="292" t="s">
        <v>171</v>
      </c>
      <c r="E73" s="293" t="s">
        <v>78</v>
      </c>
      <c r="F73" s="294" t="s">
        <v>127</v>
      </c>
      <c r="G73" s="681">
        <f aca="true" t="shared" si="3" ref="G73:G80">T73*1.12*1.05*1.1</f>
        <v>305.28960000000006</v>
      </c>
      <c r="H73" s="662" t="s">
        <v>3</v>
      </c>
      <c r="I73" s="2062">
        <f>G73/2.5</f>
        <v>122.11584000000002</v>
      </c>
      <c r="J73" s="2090"/>
      <c r="K73" s="2081"/>
      <c r="L73" s="628"/>
      <c r="M73" s="629"/>
      <c r="N73" s="2081"/>
      <c r="O73" s="628"/>
      <c r="P73" s="629"/>
      <c r="Q73" s="2081"/>
      <c r="R73" s="628"/>
      <c r="T73" s="836">
        <v>236</v>
      </c>
      <c r="U73" s="836">
        <v>212</v>
      </c>
      <c r="V73" s="836">
        <v>188</v>
      </c>
      <c r="W73" s="836">
        <v>179</v>
      </c>
      <c r="X73" s="836">
        <v>174</v>
      </c>
    </row>
    <row r="74" spans="1:24" s="836" customFormat="1" ht="41.25" customHeight="1">
      <c r="A74" s="444" t="s">
        <v>974</v>
      </c>
      <c r="B74" s="436" t="s">
        <v>972</v>
      </c>
      <c r="C74" s="309" t="s">
        <v>973</v>
      </c>
      <c r="D74" s="310" t="s">
        <v>975</v>
      </c>
      <c r="E74" s="311" t="s">
        <v>78</v>
      </c>
      <c r="F74" s="312" t="s">
        <v>127</v>
      </c>
      <c r="G74" s="331">
        <f t="shared" si="3"/>
        <v>464.4024000000001</v>
      </c>
      <c r="H74" s="888" t="s">
        <v>3</v>
      </c>
      <c r="I74" s="1131">
        <f>G74/5</f>
        <v>92.88048000000002</v>
      </c>
      <c r="J74" s="2090"/>
      <c r="K74" s="2081"/>
      <c r="L74" s="628"/>
      <c r="M74" s="629"/>
      <c r="N74" s="2081"/>
      <c r="O74" s="628"/>
      <c r="P74" s="629"/>
      <c r="Q74" s="2081"/>
      <c r="R74" s="628"/>
      <c r="T74" s="836">
        <v>359</v>
      </c>
      <c r="U74" s="836">
        <v>323</v>
      </c>
      <c r="V74" s="836">
        <v>286</v>
      </c>
      <c r="W74" s="836">
        <v>273</v>
      </c>
      <c r="X74" s="836">
        <v>266</v>
      </c>
    </row>
    <row r="75" spans="1:24" s="836" customFormat="1" ht="41.25" customHeight="1" thickBot="1">
      <c r="A75" s="625" t="s">
        <v>976</v>
      </c>
      <c r="B75" s="650" t="s">
        <v>972</v>
      </c>
      <c r="C75" s="784" t="s">
        <v>973</v>
      </c>
      <c r="D75" s="308" t="s">
        <v>977</v>
      </c>
      <c r="E75" s="786" t="s">
        <v>78</v>
      </c>
      <c r="F75" s="652" t="s">
        <v>127</v>
      </c>
      <c r="G75" s="788">
        <f t="shared" si="3"/>
        <v>923.6304000000002</v>
      </c>
      <c r="H75" s="789" t="s">
        <v>3</v>
      </c>
      <c r="I75" s="2071">
        <f>G75/10</f>
        <v>92.36304000000003</v>
      </c>
      <c r="J75" s="2090"/>
      <c r="K75" s="2081"/>
      <c r="L75" s="628"/>
      <c r="M75" s="629"/>
      <c r="N75" s="2081"/>
      <c r="O75" s="628"/>
      <c r="P75" s="629"/>
      <c r="Q75" s="2081"/>
      <c r="R75" s="628"/>
      <c r="T75" s="836">
        <v>714</v>
      </c>
      <c r="U75" s="836">
        <v>644</v>
      </c>
      <c r="V75" s="836">
        <v>569</v>
      </c>
      <c r="W75" s="836">
        <v>543</v>
      </c>
      <c r="X75" s="836">
        <v>529</v>
      </c>
    </row>
    <row r="76" spans="1:23" s="836" customFormat="1" ht="41.25" customHeight="1">
      <c r="A76" s="66" t="s">
        <v>252</v>
      </c>
      <c r="B76" s="1027" t="s">
        <v>255</v>
      </c>
      <c r="C76" s="59" t="s">
        <v>63</v>
      </c>
      <c r="D76" s="59" t="s">
        <v>92</v>
      </c>
      <c r="E76" s="59" t="s">
        <v>256</v>
      </c>
      <c r="F76" s="58" t="s">
        <v>127</v>
      </c>
      <c r="G76" s="681">
        <f t="shared" si="3"/>
        <v>347.20224</v>
      </c>
      <c r="H76" s="682" t="s">
        <v>3</v>
      </c>
      <c r="I76" s="2062">
        <f>G76/10</f>
        <v>34.720224</v>
      </c>
      <c r="J76" s="2090"/>
      <c r="K76" s="630"/>
      <c r="L76" s="628"/>
      <c r="M76" s="629"/>
      <c r="N76" s="630"/>
      <c r="O76" s="628"/>
      <c r="P76" s="629"/>
      <c r="Q76" s="630"/>
      <c r="R76" s="628"/>
      <c r="S76" s="1028"/>
      <c r="T76" s="964">
        <v>268.4</v>
      </c>
      <c r="U76" s="964">
        <v>244.2</v>
      </c>
      <c r="V76" s="964">
        <v>216.7</v>
      </c>
      <c r="W76" s="964">
        <v>203.5</v>
      </c>
    </row>
    <row r="77" spans="1:23" s="836" customFormat="1" ht="41.25" customHeight="1">
      <c r="A77" s="68" t="s">
        <v>253</v>
      </c>
      <c r="B77" s="315" t="s">
        <v>255</v>
      </c>
      <c r="C77" s="56" t="s">
        <v>63</v>
      </c>
      <c r="D77" s="56" t="s">
        <v>52</v>
      </c>
      <c r="E77" s="56" t="s">
        <v>256</v>
      </c>
      <c r="F77" s="55" t="s">
        <v>127</v>
      </c>
      <c r="G77" s="331">
        <f t="shared" si="3"/>
        <v>573.4528800000002</v>
      </c>
      <c r="H77" s="332" t="s">
        <v>3</v>
      </c>
      <c r="I77" s="1131">
        <f>G77/20</f>
        <v>28.67264400000001</v>
      </c>
      <c r="J77" s="2090"/>
      <c r="K77" s="630"/>
      <c r="L77" s="628"/>
      <c r="M77" s="629"/>
      <c r="N77" s="630"/>
      <c r="O77" s="628"/>
      <c r="P77" s="629"/>
      <c r="Q77" s="630"/>
      <c r="R77" s="628"/>
      <c r="S77" s="1028"/>
      <c r="T77" s="959">
        <v>443.3</v>
      </c>
      <c r="U77" s="970">
        <v>403.7</v>
      </c>
      <c r="V77" s="970">
        <v>358.6</v>
      </c>
      <c r="W77" s="970">
        <v>337.7</v>
      </c>
    </row>
    <row r="78" spans="1:23" s="836" customFormat="1" ht="41.25" customHeight="1" thickBot="1">
      <c r="A78" s="1004" t="s">
        <v>254</v>
      </c>
      <c r="B78" s="316" t="s">
        <v>255</v>
      </c>
      <c r="C78" s="295" t="s">
        <v>63</v>
      </c>
      <c r="D78" s="52" t="s">
        <v>21</v>
      </c>
      <c r="E78" s="52" t="s">
        <v>256</v>
      </c>
      <c r="F78" s="51" t="s">
        <v>127</v>
      </c>
      <c r="G78" s="328">
        <f t="shared" si="3"/>
        <v>1273.5492000000004</v>
      </c>
      <c r="H78" s="329" t="s">
        <v>3</v>
      </c>
      <c r="I78" s="1129">
        <f>G78/50</f>
        <v>25.47098400000001</v>
      </c>
      <c r="J78" s="2090"/>
      <c r="K78" s="630"/>
      <c r="L78" s="628"/>
      <c r="M78" s="629"/>
      <c r="N78" s="630"/>
      <c r="O78" s="628"/>
      <c r="P78" s="629"/>
      <c r="Q78" s="630"/>
      <c r="R78" s="628"/>
      <c r="S78" s="1028"/>
      <c r="T78" s="960">
        <v>984.5</v>
      </c>
      <c r="U78" s="960">
        <v>895.4</v>
      </c>
      <c r="V78" s="960">
        <v>797.5</v>
      </c>
      <c r="W78" s="960">
        <v>748</v>
      </c>
    </row>
    <row r="79" spans="1:23" s="836" customFormat="1" ht="41.25" customHeight="1">
      <c r="A79" s="66" t="s">
        <v>282</v>
      </c>
      <c r="B79" s="313" t="s">
        <v>188</v>
      </c>
      <c r="C79" s="58" t="s">
        <v>62</v>
      </c>
      <c r="D79" s="59" t="s">
        <v>60</v>
      </c>
      <c r="E79" s="60" t="s">
        <v>222</v>
      </c>
      <c r="F79" s="242" t="s">
        <v>189</v>
      </c>
      <c r="G79" s="325">
        <f t="shared" si="3"/>
        <v>167.90928000000005</v>
      </c>
      <c r="H79" s="326" t="s">
        <v>3</v>
      </c>
      <c r="I79" s="1130">
        <f>G79/10</f>
        <v>16.790928000000005</v>
      </c>
      <c r="J79" s="2090"/>
      <c r="K79" s="630"/>
      <c r="L79" s="628"/>
      <c r="M79" s="629"/>
      <c r="N79" s="630"/>
      <c r="O79" s="628"/>
      <c r="P79" s="629"/>
      <c r="Q79" s="630"/>
      <c r="R79" s="628"/>
      <c r="S79" s="163"/>
      <c r="T79" s="964">
        <v>129.8</v>
      </c>
      <c r="U79" s="964">
        <v>124.3</v>
      </c>
      <c r="V79" s="964">
        <v>112.2</v>
      </c>
      <c r="W79" s="964">
        <v>107.8</v>
      </c>
    </row>
    <row r="80" spans="1:23" s="836" customFormat="1" ht="41.25" customHeight="1" thickBot="1">
      <c r="A80" s="446" t="s">
        <v>283</v>
      </c>
      <c r="B80" s="1029" t="s">
        <v>91</v>
      </c>
      <c r="C80" s="1030" t="s">
        <v>62</v>
      </c>
      <c r="D80" s="1031" t="s">
        <v>59</v>
      </c>
      <c r="E80" s="1032" t="s">
        <v>222</v>
      </c>
      <c r="F80" s="659" t="s">
        <v>190</v>
      </c>
      <c r="G80" s="608">
        <f t="shared" si="3"/>
        <v>300.24456000000004</v>
      </c>
      <c r="H80" s="630" t="s">
        <v>3</v>
      </c>
      <c r="I80" s="628">
        <f>G80/20</f>
        <v>15.012228000000002</v>
      </c>
      <c r="J80" s="2090"/>
      <c r="K80" s="630"/>
      <c r="L80" s="628"/>
      <c r="M80" s="629"/>
      <c r="N80" s="630"/>
      <c r="O80" s="628"/>
      <c r="P80" s="629"/>
      <c r="Q80" s="630"/>
      <c r="R80" s="628"/>
      <c r="S80" s="163"/>
      <c r="T80" s="960">
        <v>232.1</v>
      </c>
      <c r="U80" s="960">
        <v>222.2</v>
      </c>
      <c r="V80" s="960">
        <v>201.3</v>
      </c>
      <c r="W80" s="960">
        <v>193.6</v>
      </c>
    </row>
    <row r="81" spans="1:18" s="508" customFormat="1" ht="29.25" customHeight="1" thickBot="1">
      <c r="A81" s="988" t="s">
        <v>603</v>
      </c>
      <c r="B81" s="989" t="s">
        <v>12</v>
      </c>
      <c r="C81" s="990" t="s">
        <v>65</v>
      </c>
      <c r="D81" s="990" t="s">
        <v>604</v>
      </c>
      <c r="E81" s="990" t="s">
        <v>79</v>
      </c>
      <c r="F81" s="990" t="s">
        <v>127</v>
      </c>
      <c r="G81" s="323">
        <f>4050*1.12*1.05*1.1</f>
        <v>5239.080000000001</v>
      </c>
      <c r="H81" s="991" t="s">
        <v>3</v>
      </c>
      <c r="I81" s="2072">
        <f>G81/1000</f>
        <v>5.23908</v>
      </c>
      <c r="J81" s="2090"/>
      <c r="K81" s="2086"/>
      <c r="L81" s="2084"/>
      <c r="M81" s="629"/>
      <c r="N81" s="2086"/>
      <c r="O81" s="2084"/>
      <c r="P81" s="629"/>
      <c r="Q81" s="2086"/>
      <c r="R81" s="2084"/>
    </row>
    <row r="82" spans="1:18" s="508" customFormat="1" ht="39" customHeight="1">
      <c r="A82" s="678" t="s">
        <v>770</v>
      </c>
      <c r="B82" s="626" t="s">
        <v>12</v>
      </c>
      <c r="C82" s="680" t="s">
        <v>771</v>
      </c>
      <c r="D82" s="680" t="s">
        <v>772</v>
      </c>
      <c r="E82" s="680" t="s">
        <v>79</v>
      </c>
      <c r="F82" s="680" t="s">
        <v>127</v>
      </c>
      <c r="G82" s="608">
        <f>7246*1.12*1.05*1.1</f>
        <v>9373.4256</v>
      </c>
      <c r="H82" s="658" t="s">
        <v>3</v>
      </c>
      <c r="I82" s="628">
        <f>G82/1700</f>
        <v>5.513779764705883</v>
      </c>
      <c r="J82" s="2090"/>
      <c r="K82" s="658"/>
      <c r="L82" s="628"/>
      <c r="M82" s="629"/>
      <c r="N82" s="658"/>
      <c r="O82" s="628"/>
      <c r="P82" s="629"/>
      <c r="Q82" s="630"/>
      <c r="R82" s="628"/>
    </row>
    <row r="83" spans="1:18" s="508" customFormat="1" ht="39" customHeight="1" thickBot="1">
      <c r="A83" s="625" t="s">
        <v>1061</v>
      </c>
      <c r="B83" s="650" t="s">
        <v>12</v>
      </c>
      <c r="C83" s="308" t="s">
        <v>771</v>
      </c>
      <c r="D83" s="308" t="s">
        <v>1062</v>
      </c>
      <c r="E83" s="308" t="s">
        <v>79</v>
      </c>
      <c r="F83" s="308" t="s">
        <v>127</v>
      </c>
      <c r="G83" s="788">
        <f>G82/2</f>
        <v>4686.7128</v>
      </c>
      <c r="H83" s="101" t="s">
        <v>3</v>
      </c>
      <c r="I83" s="2071">
        <f>G83/850</f>
        <v>5.513779764705883</v>
      </c>
      <c r="J83" s="2090"/>
      <c r="K83" s="658"/>
      <c r="L83" s="628"/>
      <c r="M83" s="629"/>
      <c r="N83" s="658"/>
      <c r="O83" s="628"/>
      <c r="P83" s="629"/>
      <c r="Q83" s="658"/>
      <c r="R83" s="628"/>
    </row>
    <row r="84" spans="1:18" s="508" customFormat="1" ht="44.25" customHeight="1">
      <c r="A84" s="321" t="s">
        <v>605</v>
      </c>
      <c r="B84" s="318" t="s">
        <v>12</v>
      </c>
      <c r="C84" s="309" t="s">
        <v>65</v>
      </c>
      <c r="D84" s="310" t="s">
        <v>606</v>
      </c>
      <c r="E84" s="311" t="s">
        <v>79</v>
      </c>
      <c r="F84" s="312" t="s">
        <v>607</v>
      </c>
      <c r="G84" s="335">
        <f>83*1.12*1.05*1.1</f>
        <v>107.36880000000004</v>
      </c>
      <c r="H84" s="333" t="s">
        <v>3</v>
      </c>
      <c r="I84" s="2073">
        <f>G84/6</f>
        <v>17.894800000000007</v>
      </c>
      <c r="J84" s="2090"/>
      <c r="K84" s="2086"/>
      <c r="L84" s="2084"/>
      <c r="M84" s="629"/>
      <c r="N84" s="2086"/>
      <c r="O84" s="2084"/>
      <c r="P84" s="629"/>
      <c r="Q84" s="2086"/>
      <c r="R84" s="2084"/>
    </row>
    <row r="85" spans="1:18" s="698" customFormat="1" ht="41.25" customHeight="1">
      <c r="A85" s="104" t="s">
        <v>284</v>
      </c>
      <c r="B85" s="697" t="s">
        <v>12</v>
      </c>
      <c r="C85" s="55" t="s">
        <v>65</v>
      </c>
      <c r="D85" s="56" t="s">
        <v>60</v>
      </c>
      <c r="E85" s="57" t="s">
        <v>79</v>
      </c>
      <c r="F85" s="244" t="s">
        <v>73</v>
      </c>
      <c r="G85" s="331">
        <f>103*1.12*1.05*1.1</f>
        <v>133.24080000000004</v>
      </c>
      <c r="H85" s="106" t="s">
        <v>3</v>
      </c>
      <c r="I85" s="1131">
        <f>G85/10</f>
        <v>13.324080000000004</v>
      </c>
      <c r="J85" s="2090"/>
      <c r="K85" s="658"/>
      <c r="L85" s="628"/>
      <c r="M85" s="629"/>
      <c r="N85" s="658"/>
      <c r="O85" s="628"/>
      <c r="P85" s="629"/>
      <c r="Q85" s="630"/>
      <c r="R85" s="628"/>
    </row>
    <row r="86" spans="1:18" s="685" customFormat="1" ht="41.25" customHeight="1" thickBot="1">
      <c r="A86" s="99" t="s">
        <v>285</v>
      </c>
      <c r="B86" s="686" t="s">
        <v>12</v>
      </c>
      <c r="C86" s="51" t="s">
        <v>65</v>
      </c>
      <c r="D86" s="52" t="s">
        <v>59</v>
      </c>
      <c r="E86" s="53" t="s">
        <v>79</v>
      </c>
      <c r="F86" s="577" t="s">
        <v>74</v>
      </c>
      <c r="G86" s="328">
        <f>146*1.12*1.05*1.1</f>
        <v>188.86560000000006</v>
      </c>
      <c r="H86" s="699" t="s">
        <v>3</v>
      </c>
      <c r="I86" s="1129">
        <f>G86/20</f>
        <v>9.443280000000003</v>
      </c>
      <c r="J86" s="2090"/>
      <c r="K86" s="658"/>
      <c r="L86" s="628"/>
      <c r="M86" s="629"/>
      <c r="N86" s="658"/>
      <c r="O86" s="628"/>
      <c r="P86" s="629"/>
      <c r="Q86" s="630"/>
      <c r="R86" s="628"/>
    </row>
    <row r="87" spans="1:18" s="685" customFormat="1" ht="41.25" customHeight="1" thickBot="1">
      <c r="A87" s="130" t="s">
        <v>286</v>
      </c>
      <c r="B87" s="506" t="s">
        <v>5</v>
      </c>
      <c r="C87" s="256">
        <v>50</v>
      </c>
      <c r="D87" s="257" t="s">
        <v>39</v>
      </c>
      <c r="E87" s="258" t="s">
        <v>78</v>
      </c>
      <c r="F87" s="700" t="s">
        <v>58</v>
      </c>
      <c r="G87" s="323">
        <f>3877*1.12*1.05*1.1</f>
        <v>5015.287200000002</v>
      </c>
      <c r="H87" s="132" t="s">
        <v>3</v>
      </c>
      <c r="I87" s="548">
        <f>G87/24</f>
        <v>208.97030000000007</v>
      </c>
      <c r="J87" s="2090"/>
      <c r="K87" s="658"/>
      <c r="L87" s="628"/>
      <c r="M87" s="629"/>
      <c r="N87" s="658"/>
      <c r="O87" s="628"/>
      <c r="P87" s="629"/>
      <c r="Q87" s="630"/>
      <c r="R87" s="628"/>
    </row>
    <row r="88" spans="1:27" s="1444" customFormat="1" ht="39.75" customHeight="1" thickBot="1">
      <c r="A88" s="1439" t="s">
        <v>1193</v>
      </c>
      <c r="B88" s="1440" t="s">
        <v>1194</v>
      </c>
      <c r="C88" s="1441">
        <v>50</v>
      </c>
      <c r="D88" s="1442" t="s">
        <v>1195</v>
      </c>
      <c r="E88" s="1443" t="s">
        <v>78</v>
      </c>
      <c r="F88" s="1132" t="s">
        <v>58</v>
      </c>
      <c r="G88" s="1256">
        <f>T88*1.12*1.05*1.1</f>
        <v>6687.912000000001</v>
      </c>
      <c r="H88" s="1257" t="s">
        <v>3</v>
      </c>
      <c r="I88" s="2074">
        <f>G88/32</f>
        <v>208.99725000000004</v>
      </c>
      <c r="J88" s="2091"/>
      <c r="K88" s="2087"/>
      <c r="L88" s="2080"/>
      <c r="M88" s="2078"/>
      <c r="N88" s="2087"/>
      <c r="O88" s="2080"/>
      <c r="P88" s="2078"/>
      <c r="Q88" s="2079"/>
      <c r="R88" s="2080"/>
      <c r="T88" s="1444">
        <v>5170</v>
      </c>
      <c r="U88" s="1445">
        <v>4653</v>
      </c>
      <c r="V88" s="1445">
        <v>4112</v>
      </c>
      <c r="W88" s="1445">
        <v>3929</v>
      </c>
      <c r="X88" s="1446">
        <v>38.24</v>
      </c>
      <c r="Y88" s="1446"/>
      <c r="Z88" s="1446"/>
      <c r="AA88" s="1446"/>
    </row>
    <row r="89" spans="1:18" s="685" customFormat="1" ht="41.25" customHeight="1">
      <c r="A89" s="96" t="s">
        <v>287</v>
      </c>
      <c r="B89" s="279" t="s">
        <v>6</v>
      </c>
      <c r="C89" s="58" t="s">
        <v>40</v>
      </c>
      <c r="D89" s="59" t="s">
        <v>87</v>
      </c>
      <c r="E89" s="60" t="s">
        <v>78</v>
      </c>
      <c r="F89" s="242" t="s">
        <v>58</v>
      </c>
      <c r="G89" s="325">
        <f>1441*1.12*1.05*1.1</f>
        <v>1864.0776000000003</v>
      </c>
      <c r="H89" s="102" t="s">
        <v>3</v>
      </c>
      <c r="I89" s="1130">
        <f>G89/12</f>
        <v>155.33980000000003</v>
      </c>
      <c r="J89" s="2090"/>
      <c r="K89" s="658"/>
      <c r="L89" s="628"/>
      <c r="M89" s="629"/>
      <c r="N89" s="658"/>
      <c r="O89" s="628"/>
      <c r="P89" s="629"/>
      <c r="Q89" s="630"/>
      <c r="R89" s="628"/>
    </row>
    <row r="90" spans="1:18" s="685" customFormat="1" ht="41.25" customHeight="1" thickBot="1">
      <c r="A90" s="99" t="s">
        <v>288</v>
      </c>
      <c r="B90" s="686" t="s">
        <v>6</v>
      </c>
      <c r="C90" s="51" t="s">
        <v>40</v>
      </c>
      <c r="D90" s="52" t="s">
        <v>41</v>
      </c>
      <c r="E90" s="53" t="s">
        <v>78</v>
      </c>
      <c r="F90" s="577" t="s">
        <v>58</v>
      </c>
      <c r="G90" s="328">
        <f>3590*1.12*1.05*1.1</f>
        <v>4644.024</v>
      </c>
      <c r="H90" s="699" t="s">
        <v>3</v>
      </c>
      <c r="I90" s="1129">
        <f>G90/30</f>
        <v>154.8008</v>
      </c>
      <c r="J90" s="2090"/>
      <c r="K90" s="658"/>
      <c r="L90" s="628"/>
      <c r="M90" s="629"/>
      <c r="N90" s="658"/>
      <c r="O90" s="628"/>
      <c r="P90" s="629"/>
      <c r="Q90" s="630"/>
      <c r="R90" s="628"/>
    </row>
    <row r="91" spans="1:23" s="701" customFormat="1" ht="28.5" customHeight="1">
      <c r="A91" s="444" t="s">
        <v>836</v>
      </c>
      <c r="B91" s="436" t="s">
        <v>6</v>
      </c>
      <c r="C91" s="309" t="s">
        <v>932</v>
      </c>
      <c r="D91" s="310" t="s">
        <v>87</v>
      </c>
      <c r="E91" s="311" t="s">
        <v>78</v>
      </c>
      <c r="F91" s="312" t="s">
        <v>58</v>
      </c>
      <c r="G91" s="325">
        <f>T91*1.12*1.05*1.1</f>
        <v>1337.5824000000002</v>
      </c>
      <c r="H91" s="102" t="s">
        <v>3</v>
      </c>
      <c r="I91" s="1130">
        <f>G91/12</f>
        <v>111.46520000000002</v>
      </c>
      <c r="J91" s="2090"/>
      <c r="K91" s="658"/>
      <c r="L91" s="628"/>
      <c r="M91" s="629"/>
      <c r="N91" s="658"/>
      <c r="O91" s="628"/>
      <c r="P91" s="629"/>
      <c r="Q91" s="630"/>
      <c r="R91" s="628"/>
      <c r="S91" s="508"/>
      <c r="T91" s="701">
        <v>1034</v>
      </c>
      <c r="U91" s="701">
        <v>933</v>
      </c>
      <c r="V91" s="701">
        <v>825</v>
      </c>
      <c r="W91" s="701">
        <v>786</v>
      </c>
    </row>
    <row r="92" spans="1:23" s="701" customFormat="1" ht="28.5" customHeight="1">
      <c r="A92" s="444" t="s">
        <v>837</v>
      </c>
      <c r="B92" s="436" t="s">
        <v>6</v>
      </c>
      <c r="C92" s="309" t="s">
        <v>932</v>
      </c>
      <c r="D92" s="310" t="s">
        <v>41</v>
      </c>
      <c r="E92" s="311" t="s">
        <v>78</v>
      </c>
      <c r="F92" s="312" t="s">
        <v>58</v>
      </c>
      <c r="G92" s="331">
        <f>T92*1.12*1.05*1.1</f>
        <v>3327.139200000001</v>
      </c>
      <c r="H92" s="106" t="s">
        <v>3</v>
      </c>
      <c r="I92" s="1131">
        <f>G92/30</f>
        <v>110.90464000000003</v>
      </c>
      <c r="J92" s="2090"/>
      <c r="K92" s="658"/>
      <c r="L92" s="628"/>
      <c r="M92" s="629"/>
      <c r="N92" s="658"/>
      <c r="O92" s="628"/>
      <c r="P92" s="629"/>
      <c r="Q92" s="630"/>
      <c r="R92" s="628"/>
      <c r="S92" s="508"/>
      <c r="T92" s="701">
        <v>2572</v>
      </c>
      <c r="U92" s="701">
        <v>2321</v>
      </c>
      <c r="V92" s="701">
        <v>2051</v>
      </c>
      <c r="W92" s="701">
        <v>1955</v>
      </c>
    </row>
    <row r="93" spans="1:24" s="701" customFormat="1" ht="28.5" customHeight="1">
      <c r="A93" s="444" t="s">
        <v>847</v>
      </c>
      <c r="B93" s="436" t="s">
        <v>7</v>
      </c>
      <c r="C93" s="309" t="s">
        <v>842</v>
      </c>
      <c r="D93" s="310" t="s">
        <v>848</v>
      </c>
      <c r="E93" s="311" t="s">
        <v>79</v>
      </c>
      <c r="F93" s="312" t="s">
        <v>58</v>
      </c>
      <c r="G93" s="608">
        <f>T93*1.12*1.05*1.1</f>
        <v>2631.1824000000006</v>
      </c>
      <c r="H93" s="658" t="s">
        <v>3</v>
      </c>
      <c r="I93" s="628">
        <f>G93/30</f>
        <v>87.70608000000001</v>
      </c>
      <c r="J93" s="2090"/>
      <c r="K93" s="658"/>
      <c r="L93" s="628"/>
      <c r="M93" s="629"/>
      <c r="N93" s="658"/>
      <c r="O93" s="628"/>
      <c r="P93" s="629"/>
      <c r="Q93" s="630"/>
      <c r="R93" s="628"/>
      <c r="S93" s="508"/>
      <c r="T93" s="701">
        <v>2034</v>
      </c>
      <c r="U93" s="701">
        <v>1892</v>
      </c>
      <c r="V93" s="701">
        <v>1797</v>
      </c>
      <c r="W93" s="701">
        <v>1707</v>
      </c>
      <c r="X93" s="701">
        <v>1622</v>
      </c>
    </row>
    <row r="94" spans="1:24" s="701" customFormat="1" ht="28.5" customHeight="1">
      <c r="A94" s="444" t="s">
        <v>849</v>
      </c>
      <c r="B94" s="436" t="s">
        <v>7</v>
      </c>
      <c r="C94" s="309" t="s">
        <v>707</v>
      </c>
      <c r="D94" s="310" t="s">
        <v>194</v>
      </c>
      <c r="E94" s="311" t="s">
        <v>79</v>
      </c>
      <c r="F94" s="312" t="s">
        <v>58</v>
      </c>
      <c r="G94" s="331">
        <f>T94*1.12*1.05*1.1</f>
        <v>2862.736800000001</v>
      </c>
      <c r="H94" s="106" t="s">
        <v>3</v>
      </c>
      <c r="I94" s="1131">
        <f>G94/37.5</f>
        <v>76.33964800000003</v>
      </c>
      <c r="J94" s="2090"/>
      <c r="K94" s="658"/>
      <c r="L94" s="628"/>
      <c r="M94" s="629"/>
      <c r="N94" s="658"/>
      <c r="O94" s="628"/>
      <c r="P94" s="629"/>
      <c r="Q94" s="630"/>
      <c r="R94" s="628"/>
      <c r="S94" s="508"/>
      <c r="T94" s="701">
        <v>2213</v>
      </c>
      <c r="U94" s="701">
        <v>2058</v>
      </c>
      <c r="V94" s="701">
        <v>1955</v>
      </c>
      <c r="W94" s="701">
        <v>1857</v>
      </c>
      <c r="X94" s="701">
        <v>1764</v>
      </c>
    </row>
    <row r="95" spans="1:23" s="701" customFormat="1" ht="28.5" customHeight="1" thickBot="1">
      <c r="A95" s="444" t="s">
        <v>850</v>
      </c>
      <c r="B95" s="436" t="s">
        <v>7</v>
      </c>
      <c r="C95" s="309" t="s">
        <v>671</v>
      </c>
      <c r="D95" s="310" t="s">
        <v>194</v>
      </c>
      <c r="E95" s="311" t="s">
        <v>79</v>
      </c>
      <c r="F95" s="312" t="s">
        <v>58</v>
      </c>
      <c r="G95" s="608">
        <f>T95*1.12*1.05*1.1</f>
        <v>3289.624800000001</v>
      </c>
      <c r="H95" s="658" t="s">
        <v>3</v>
      </c>
      <c r="I95" s="628">
        <f>G95/37.5</f>
        <v>87.72332800000002</v>
      </c>
      <c r="J95" s="2090"/>
      <c r="K95" s="658"/>
      <c r="L95" s="628"/>
      <c r="M95" s="629"/>
      <c r="N95" s="658"/>
      <c r="O95" s="628"/>
      <c r="P95" s="629"/>
      <c r="Q95" s="630"/>
      <c r="R95" s="628"/>
      <c r="S95" s="508"/>
      <c r="T95" s="701">
        <v>2543</v>
      </c>
      <c r="U95" s="701">
        <v>2364</v>
      </c>
      <c r="V95" s="701">
        <v>2246</v>
      </c>
      <c r="W95" s="701">
        <v>2134</v>
      </c>
    </row>
    <row r="96" spans="1:18" s="685" customFormat="1" ht="41.25" customHeight="1">
      <c r="A96" s="96" t="s">
        <v>289</v>
      </c>
      <c r="B96" s="687" t="s">
        <v>7</v>
      </c>
      <c r="C96" s="58" t="s">
        <v>42</v>
      </c>
      <c r="D96" s="59" t="s">
        <v>88</v>
      </c>
      <c r="E96" s="60" t="s">
        <v>78</v>
      </c>
      <c r="F96" s="242" t="s">
        <v>58</v>
      </c>
      <c r="G96" s="325">
        <f>1417*1.12*1.05*1.1</f>
        <v>1833.0312000000004</v>
      </c>
      <c r="H96" s="102" t="s">
        <v>3</v>
      </c>
      <c r="I96" s="1130">
        <f>G96/15</f>
        <v>122.20208000000002</v>
      </c>
      <c r="J96" s="2090"/>
      <c r="K96" s="658"/>
      <c r="L96" s="628"/>
      <c r="M96" s="629"/>
      <c r="N96" s="658"/>
      <c r="O96" s="628"/>
      <c r="P96" s="629"/>
      <c r="Q96" s="630"/>
      <c r="R96" s="628"/>
    </row>
    <row r="97" spans="1:18" s="685" customFormat="1" ht="41.25" customHeight="1" thickBot="1">
      <c r="A97" s="99" t="s">
        <v>290</v>
      </c>
      <c r="B97" s="314" t="s">
        <v>7</v>
      </c>
      <c r="C97" s="51" t="s">
        <v>42</v>
      </c>
      <c r="D97" s="52" t="s">
        <v>43</v>
      </c>
      <c r="E97" s="53" t="s">
        <v>78</v>
      </c>
      <c r="F97" s="577" t="s">
        <v>58</v>
      </c>
      <c r="G97" s="328">
        <f>3527*1.12*1.05*1.1</f>
        <v>4562.5272</v>
      </c>
      <c r="H97" s="699" t="s">
        <v>3</v>
      </c>
      <c r="I97" s="1129">
        <f>G97/37.5</f>
        <v>121.667392</v>
      </c>
      <c r="J97" s="2090"/>
      <c r="K97" s="658"/>
      <c r="L97" s="628"/>
      <c r="M97" s="629"/>
      <c r="N97" s="658"/>
      <c r="O97" s="628"/>
      <c r="P97" s="629"/>
      <c r="Q97" s="630"/>
      <c r="R97" s="628"/>
    </row>
    <row r="98" spans="1:23" s="701" customFormat="1" ht="28.5" customHeight="1">
      <c r="A98" s="433" t="s">
        <v>838</v>
      </c>
      <c r="B98" s="434" t="s">
        <v>7</v>
      </c>
      <c r="C98" s="291" t="s">
        <v>931</v>
      </c>
      <c r="D98" s="292" t="s">
        <v>88</v>
      </c>
      <c r="E98" s="293" t="s">
        <v>78</v>
      </c>
      <c r="F98" s="294" t="s">
        <v>58</v>
      </c>
      <c r="G98" s="325">
        <f>T98*1.12*1.05*1.1</f>
        <v>1338.8760000000002</v>
      </c>
      <c r="H98" s="102" t="s">
        <v>3</v>
      </c>
      <c r="I98" s="1130">
        <f>G98/15</f>
        <v>89.25840000000001</v>
      </c>
      <c r="J98" s="2090"/>
      <c r="K98" s="658"/>
      <c r="L98" s="628"/>
      <c r="M98" s="629"/>
      <c r="N98" s="658"/>
      <c r="O98" s="628"/>
      <c r="P98" s="629"/>
      <c r="Q98" s="630"/>
      <c r="R98" s="628"/>
      <c r="S98" s="508"/>
      <c r="T98" s="701">
        <v>1035</v>
      </c>
      <c r="U98" s="701">
        <v>934</v>
      </c>
      <c r="V98" s="701">
        <v>825</v>
      </c>
      <c r="W98" s="701">
        <v>787</v>
      </c>
    </row>
    <row r="99" spans="1:23" s="701" customFormat="1" ht="28.5" customHeight="1" thickBot="1">
      <c r="A99" s="625" t="s">
        <v>839</v>
      </c>
      <c r="B99" s="650" t="s">
        <v>7</v>
      </c>
      <c r="C99" s="784" t="s">
        <v>931</v>
      </c>
      <c r="D99" s="308" t="s">
        <v>43</v>
      </c>
      <c r="E99" s="786" t="s">
        <v>78</v>
      </c>
      <c r="F99" s="652" t="s">
        <v>58</v>
      </c>
      <c r="G99" s="328">
        <f>T99*1.12*1.05*1.1</f>
        <v>3329.7264000000005</v>
      </c>
      <c r="H99" s="699" t="s">
        <v>3</v>
      </c>
      <c r="I99" s="1129">
        <f>G99/37.5</f>
        <v>88.79270400000001</v>
      </c>
      <c r="J99" s="2090"/>
      <c r="K99" s="658"/>
      <c r="L99" s="628"/>
      <c r="M99" s="629"/>
      <c r="N99" s="658"/>
      <c r="O99" s="628"/>
      <c r="P99" s="629"/>
      <c r="Q99" s="630"/>
      <c r="R99" s="628"/>
      <c r="S99" s="508"/>
      <c r="T99" s="701">
        <v>2574</v>
      </c>
      <c r="U99" s="701">
        <v>2322</v>
      </c>
      <c r="V99" s="701">
        <v>2052</v>
      </c>
      <c r="W99" s="701">
        <v>1956</v>
      </c>
    </row>
    <row r="100" spans="1:24" s="508" customFormat="1" ht="39" customHeight="1" hidden="1">
      <c r="A100" s="435" t="s">
        <v>834</v>
      </c>
      <c r="B100" s="438" t="s">
        <v>7</v>
      </c>
      <c r="C100" s="439" t="s">
        <v>707</v>
      </c>
      <c r="D100" s="440" t="s">
        <v>194</v>
      </c>
      <c r="E100" s="334" t="s">
        <v>79</v>
      </c>
      <c r="F100" s="441" t="s">
        <v>58</v>
      </c>
      <c r="G100" s="325">
        <f>T100*1.12*1.05*1.1</f>
        <v>2688.1008</v>
      </c>
      <c r="H100" s="102" t="s">
        <v>3</v>
      </c>
      <c r="I100" s="1130">
        <f>G100/37.5</f>
        <v>71.682688</v>
      </c>
      <c r="J100" s="2090"/>
      <c r="K100" s="658"/>
      <c r="L100" s="628"/>
      <c r="M100" s="629"/>
      <c r="N100" s="658"/>
      <c r="O100" s="628"/>
      <c r="P100" s="629"/>
      <c r="Q100" s="630"/>
      <c r="R100" s="628"/>
      <c r="T100" s="508">
        <v>2078</v>
      </c>
      <c r="U100" s="508">
        <v>1932</v>
      </c>
      <c r="V100" s="508">
        <v>1835</v>
      </c>
      <c r="W100" s="508">
        <v>1744</v>
      </c>
      <c r="X100" s="508">
        <v>1639</v>
      </c>
    </row>
    <row r="101" spans="1:24" s="508" customFormat="1" ht="39" customHeight="1" hidden="1" thickBot="1">
      <c r="A101" s="435" t="s">
        <v>835</v>
      </c>
      <c r="B101" s="438" t="s">
        <v>7</v>
      </c>
      <c r="C101" s="439" t="s">
        <v>671</v>
      </c>
      <c r="D101" s="440" t="s">
        <v>194</v>
      </c>
      <c r="E101" s="334" t="s">
        <v>79</v>
      </c>
      <c r="F101" s="441" t="s">
        <v>58</v>
      </c>
      <c r="G101" s="328">
        <f>T101*1.12*1.05*1.1</f>
        <v>3099.4656000000004</v>
      </c>
      <c r="H101" s="699" t="s">
        <v>3</v>
      </c>
      <c r="I101" s="1129">
        <f>G101/37.5</f>
        <v>82.65241600000002</v>
      </c>
      <c r="J101" s="2090"/>
      <c r="K101" s="658"/>
      <c r="L101" s="628"/>
      <c r="M101" s="629"/>
      <c r="N101" s="658"/>
      <c r="O101" s="628"/>
      <c r="P101" s="629"/>
      <c r="Q101" s="630"/>
      <c r="R101" s="628"/>
      <c r="T101" s="508">
        <v>2396</v>
      </c>
      <c r="U101" s="508">
        <v>2229</v>
      </c>
      <c r="V101" s="508">
        <v>2117</v>
      </c>
      <c r="W101" s="508">
        <v>2011</v>
      </c>
      <c r="X101" s="508">
        <v>1894</v>
      </c>
    </row>
    <row r="102" spans="1:18" s="685" customFormat="1" ht="41.25" customHeight="1">
      <c r="A102" s="96" t="s">
        <v>291</v>
      </c>
      <c r="B102" s="687" t="s">
        <v>8</v>
      </c>
      <c r="C102" s="58" t="s">
        <v>40</v>
      </c>
      <c r="D102" s="59" t="s">
        <v>89</v>
      </c>
      <c r="E102" s="60" t="s">
        <v>78</v>
      </c>
      <c r="F102" s="242" t="s">
        <v>58</v>
      </c>
      <c r="G102" s="325">
        <f>2107*1.12*1.05*1.1</f>
        <v>2725.6152000000006</v>
      </c>
      <c r="H102" s="102" t="s">
        <v>3</v>
      </c>
      <c r="I102" s="1130">
        <f>G102/19</f>
        <v>143.4534315789474</v>
      </c>
      <c r="J102" s="2090"/>
      <c r="K102" s="658"/>
      <c r="L102" s="628"/>
      <c r="M102" s="629"/>
      <c r="N102" s="658"/>
      <c r="O102" s="628"/>
      <c r="P102" s="629"/>
      <c r="Q102" s="630"/>
      <c r="R102" s="628"/>
    </row>
    <row r="103" spans="1:18" s="685" customFormat="1" ht="41.25" customHeight="1" thickBot="1">
      <c r="A103" s="99" t="s">
        <v>292</v>
      </c>
      <c r="B103" s="314" t="s">
        <v>8</v>
      </c>
      <c r="C103" s="51" t="s">
        <v>40</v>
      </c>
      <c r="D103" s="52" t="s">
        <v>44</v>
      </c>
      <c r="E103" s="53" t="s">
        <v>78</v>
      </c>
      <c r="F103" s="577" t="s">
        <v>58</v>
      </c>
      <c r="G103" s="328">
        <f>5246*1.12*1.05*1.1</f>
        <v>6786.225600000001</v>
      </c>
      <c r="H103" s="699" t="s">
        <v>3</v>
      </c>
      <c r="I103" s="1129">
        <f>G103/47.5</f>
        <v>142.86790736842107</v>
      </c>
      <c r="J103" s="2090"/>
      <c r="K103" s="658"/>
      <c r="L103" s="628"/>
      <c r="M103" s="629"/>
      <c r="N103" s="658"/>
      <c r="O103" s="628"/>
      <c r="P103" s="629"/>
      <c r="Q103" s="630"/>
      <c r="R103" s="628"/>
    </row>
    <row r="104" spans="1:24" s="685" customFormat="1" ht="41.25" customHeight="1" thickBot="1">
      <c r="A104" s="444" t="s">
        <v>851</v>
      </c>
      <c r="B104" s="436" t="s">
        <v>852</v>
      </c>
      <c r="C104" s="309" t="s">
        <v>842</v>
      </c>
      <c r="D104" s="310" t="s">
        <v>853</v>
      </c>
      <c r="E104" s="311" t="s">
        <v>79</v>
      </c>
      <c r="F104" s="312" t="s">
        <v>58</v>
      </c>
      <c r="G104" s="328">
        <f>T104*1.12*1.05*1.1</f>
        <v>3508.2432000000013</v>
      </c>
      <c r="H104" s="699" t="s">
        <v>3</v>
      </c>
      <c r="I104" s="1129">
        <f>G104/40</f>
        <v>87.70608000000003</v>
      </c>
      <c r="J104" s="2090"/>
      <c r="K104" s="658"/>
      <c r="L104" s="628"/>
      <c r="M104" s="629"/>
      <c r="N104" s="658"/>
      <c r="O104" s="628"/>
      <c r="P104" s="629"/>
      <c r="Q104" s="630"/>
      <c r="R104" s="628"/>
      <c r="T104" s="685">
        <v>2712</v>
      </c>
      <c r="U104" s="685">
        <v>2522</v>
      </c>
      <c r="V104" s="685">
        <v>2396</v>
      </c>
      <c r="W104" s="685">
        <v>2276</v>
      </c>
      <c r="X104" s="685">
        <v>2162</v>
      </c>
    </row>
    <row r="105" spans="1:19" s="782" customFormat="1" ht="41.25" customHeight="1">
      <c r="A105" s="96" t="s">
        <v>293</v>
      </c>
      <c r="B105" s="687" t="s">
        <v>17</v>
      </c>
      <c r="C105" s="58" t="s">
        <v>27</v>
      </c>
      <c r="D105" s="59" t="s">
        <v>86</v>
      </c>
      <c r="E105" s="60" t="s">
        <v>79</v>
      </c>
      <c r="F105" s="242" t="s">
        <v>58</v>
      </c>
      <c r="G105" s="325">
        <v>5003.618281200001</v>
      </c>
      <c r="H105" s="102" t="s">
        <v>3</v>
      </c>
      <c r="I105" s="1130">
        <v>166.78727604000002</v>
      </c>
      <c r="J105" s="2090"/>
      <c r="K105" s="658"/>
      <c r="L105" s="628"/>
      <c r="M105" s="629"/>
      <c r="N105" s="658"/>
      <c r="O105" s="628"/>
      <c r="P105" s="629"/>
      <c r="Q105" s="630"/>
      <c r="R105" s="628"/>
      <c r="S105" s="685"/>
    </row>
    <row r="106" spans="1:19" s="782" customFormat="1" ht="41.25" customHeight="1" thickBot="1">
      <c r="A106" s="99" t="s">
        <v>294</v>
      </c>
      <c r="B106" s="314" t="s">
        <v>17</v>
      </c>
      <c r="C106" s="51" t="s">
        <v>27</v>
      </c>
      <c r="D106" s="52" t="s">
        <v>29</v>
      </c>
      <c r="E106" s="53" t="s">
        <v>79</v>
      </c>
      <c r="F106" s="577" t="s">
        <v>58</v>
      </c>
      <c r="G106" s="328">
        <v>9972.369819054724</v>
      </c>
      <c r="H106" s="699" t="s">
        <v>3</v>
      </c>
      <c r="I106" s="1129">
        <v>166.20616365091206</v>
      </c>
      <c r="J106" s="2090"/>
      <c r="K106" s="658"/>
      <c r="L106" s="628"/>
      <c r="M106" s="629"/>
      <c r="N106" s="658"/>
      <c r="O106" s="628"/>
      <c r="P106" s="629"/>
      <c r="Q106" s="630"/>
      <c r="R106" s="628"/>
      <c r="S106" s="685"/>
    </row>
    <row r="107" spans="1:18" s="685" customFormat="1" ht="41.25" customHeight="1" thickBot="1">
      <c r="A107" s="130" t="s">
        <v>295</v>
      </c>
      <c r="B107" s="506" t="s">
        <v>17</v>
      </c>
      <c r="C107" s="256" t="s">
        <v>28</v>
      </c>
      <c r="D107" s="257" t="s">
        <v>29</v>
      </c>
      <c r="E107" s="258" t="s">
        <v>79</v>
      </c>
      <c r="F107" s="700" t="s">
        <v>58</v>
      </c>
      <c r="G107" s="323">
        <f>9162*1.12*1.05*1.1</f>
        <v>11851.963200000002</v>
      </c>
      <c r="H107" s="132" t="s">
        <v>3</v>
      </c>
      <c r="I107" s="548">
        <f>G107/60</f>
        <v>197.53272000000004</v>
      </c>
      <c r="J107" s="2090"/>
      <c r="K107" s="658"/>
      <c r="L107" s="628"/>
      <c r="M107" s="629"/>
      <c r="N107" s="658"/>
      <c r="O107" s="628"/>
      <c r="P107" s="629"/>
      <c r="Q107" s="630"/>
      <c r="R107" s="628"/>
    </row>
    <row r="108" spans="1:23" s="972" customFormat="1" ht="41.25" customHeight="1">
      <c r="A108" s="66" t="s">
        <v>296</v>
      </c>
      <c r="B108" s="1027" t="s">
        <v>1058</v>
      </c>
      <c r="C108" s="22" t="s">
        <v>128</v>
      </c>
      <c r="D108" s="34" t="s">
        <v>210</v>
      </c>
      <c r="E108" s="34" t="s">
        <v>211</v>
      </c>
      <c r="F108" s="22" t="s">
        <v>127</v>
      </c>
      <c r="G108" s="681">
        <f>T108*1.12*1.05*1.1</f>
        <v>465.89004000000006</v>
      </c>
      <c r="H108" s="682" t="s">
        <v>3</v>
      </c>
      <c r="I108" s="2062">
        <f>G108/4</f>
        <v>116.47251000000001</v>
      </c>
      <c r="J108" s="2090"/>
      <c r="K108" s="630"/>
      <c r="L108" s="628"/>
      <c r="M108" s="629"/>
      <c r="N108" s="630"/>
      <c r="O108" s="628"/>
      <c r="P108" s="629"/>
      <c r="Q108" s="630"/>
      <c r="R108" s="628"/>
      <c r="S108" s="129"/>
      <c r="T108" s="964">
        <v>360.15</v>
      </c>
      <c r="U108" s="964">
        <v>327.6</v>
      </c>
      <c r="V108" s="973">
        <v>289.8</v>
      </c>
      <c r="W108" s="973">
        <v>274.05</v>
      </c>
    </row>
    <row r="109" spans="1:23" s="972" customFormat="1" ht="41.25" customHeight="1">
      <c r="A109" s="68" t="s">
        <v>297</v>
      </c>
      <c r="B109" s="315" t="s">
        <v>1058</v>
      </c>
      <c r="C109" s="24" t="s">
        <v>128</v>
      </c>
      <c r="D109" s="36" t="s">
        <v>143</v>
      </c>
      <c r="E109" s="35" t="s">
        <v>211</v>
      </c>
      <c r="F109" s="24" t="s">
        <v>127</v>
      </c>
      <c r="G109" s="331">
        <f>T109*1.12*1.05*1.1</f>
        <v>905.9727600000001</v>
      </c>
      <c r="H109" s="332" t="s">
        <v>3</v>
      </c>
      <c r="I109" s="1131">
        <f>G109/8</f>
        <v>113.24659500000001</v>
      </c>
      <c r="J109" s="2090"/>
      <c r="K109" s="630"/>
      <c r="L109" s="628"/>
      <c r="M109" s="629"/>
      <c r="N109" s="630"/>
      <c r="O109" s="628"/>
      <c r="P109" s="629"/>
      <c r="Q109" s="630"/>
      <c r="R109" s="628"/>
      <c r="S109" s="129"/>
      <c r="T109" s="958">
        <v>700.35</v>
      </c>
      <c r="U109" s="958">
        <v>636.3</v>
      </c>
      <c r="V109" s="974">
        <v>562.8</v>
      </c>
      <c r="W109" s="974">
        <v>532.35</v>
      </c>
    </row>
    <row r="110" spans="1:23" s="972" customFormat="1" ht="41.25" customHeight="1">
      <c r="A110" s="67" t="s">
        <v>298</v>
      </c>
      <c r="B110" s="315" t="s">
        <v>1058</v>
      </c>
      <c r="C110" s="23" t="s">
        <v>32</v>
      </c>
      <c r="D110" s="35" t="s">
        <v>80</v>
      </c>
      <c r="E110" s="35" t="s">
        <v>211</v>
      </c>
      <c r="F110" s="23" t="s">
        <v>127</v>
      </c>
      <c r="G110" s="331">
        <f>T110*1.12*1.05*1.1</f>
        <v>688.6479600000001</v>
      </c>
      <c r="H110" s="332" t="s">
        <v>3</v>
      </c>
      <c r="I110" s="1131">
        <f>G110/5</f>
        <v>137.72959200000003</v>
      </c>
      <c r="J110" s="2090"/>
      <c r="K110" s="630"/>
      <c r="L110" s="628"/>
      <c r="M110" s="629"/>
      <c r="N110" s="630"/>
      <c r="O110" s="628"/>
      <c r="P110" s="629"/>
      <c r="Q110" s="630"/>
      <c r="R110" s="628"/>
      <c r="S110" s="129"/>
      <c r="T110" s="959">
        <v>532.35</v>
      </c>
      <c r="U110" s="959">
        <v>484.05</v>
      </c>
      <c r="V110" s="970">
        <v>428.4</v>
      </c>
      <c r="W110" s="970">
        <v>404.25</v>
      </c>
    </row>
    <row r="111" spans="1:23" s="972" customFormat="1" ht="41.25" customHeight="1" thickBot="1">
      <c r="A111" s="71" t="s">
        <v>299</v>
      </c>
      <c r="B111" s="316" t="s">
        <v>1058</v>
      </c>
      <c r="C111" s="72" t="s">
        <v>32</v>
      </c>
      <c r="D111" s="61" t="s">
        <v>35</v>
      </c>
      <c r="E111" s="61" t="s">
        <v>211</v>
      </c>
      <c r="F111" s="72" t="s">
        <v>127</v>
      </c>
      <c r="G111" s="608">
        <f>T111*1.12*1.05*1.1</f>
        <v>1356.9217200000003</v>
      </c>
      <c r="H111" s="630" t="s">
        <v>3</v>
      </c>
      <c r="I111" s="1129">
        <f>G111/10</f>
        <v>135.69217200000003</v>
      </c>
      <c r="J111" s="2090"/>
      <c r="K111" s="630"/>
      <c r="L111" s="628"/>
      <c r="M111" s="629"/>
      <c r="N111" s="630"/>
      <c r="O111" s="628"/>
      <c r="P111" s="629"/>
      <c r="Q111" s="630"/>
      <c r="R111" s="628"/>
      <c r="S111" s="129"/>
      <c r="T111" s="966">
        <v>1048.95</v>
      </c>
      <c r="U111" s="966">
        <v>948.15</v>
      </c>
      <c r="V111" s="975">
        <v>838.95</v>
      </c>
      <c r="W111" s="975">
        <v>796.95</v>
      </c>
    </row>
    <row r="112" spans="1:18" s="165" customFormat="1" ht="41.25" customHeight="1">
      <c r="A112" s="96" t="s">
        <v>296</v>
      </c>
      <c r="B112" s="696" t="s">
        <v>209</v>
      </c>
      <c r="C112" s="102" t="s">
        <v>128</v>
      </c>
      <c r="D112" s="97" t="s">
        <v>210</v>
      </c>
      <c r="E112" s="97" t="s">
        <v>211</v>
      </c>
      <c r="F112" s="102" t="s">
        <v>127</v>
      </c>
      <c r="G112" s="325">
        <f>343*1.12*1.05*1.1</f>
        <v>443.7048000000001</v>
      </c>
      <c r="H112" s="102" t="s">
        <v>3</v>
      </c>
      <c r="I112" s="1130">
        <f>G112/4</f>
        <v>110.92620000000002</v>
      </c>
      <c r="J112" s="2090"/>
      <c r="K112" s="658"/>
      <c r="L112" s="628"/>
      <c r="M112" s="629"/>
      <c r="N112" s="658"/>
      <c r="O112" s="628"/>
      <c r="P112" s="629"/>
      <c r="Q112" s="630"/>
      <c r="R112" s="628"/>
    </row>
    <row r="113" spans="1:18" s="129" customFormat="1" ht="41.25" customHeight="1">
      <c r="A113" s="68" t="s">
        <v>297</v>
      </c>
      <c r="B113" s="315" t="s">
        <v>209</v>
      </c>
      <c r="C113" s="24" t="s">
        <v>128</v>
      </c>
      <c r="D113" s="36" t="s">
        <v>143</v>
      </c>
      <c r="E113" s="35" t="s">
        <v>211</v>
      </c>
      <c r="F113" s="24" t="s">
        <v>127</v>
      </c>
      <c r="G113" s="330">
        <f>667*1.12*1.05*1.1</f>
        <v>862.8312000000003</v>
      </c>
      <c r="H113" s="23" t="s">
        <v>3</v>
      </c>
      <c r="I113" s="1131">
        <f>G113/8</f>
        <v>107.85390000000004</v>
      </c>
      <c r="J113" s="2090"/>
      <c r="K113" s="658"/>
      <c r="L113" s="628"/>
      <c r="M113" s="629"/>
      <c r="N113" s="658"/>
      <c r="O113" s="628"/>
      <c r="P113" s="629"/>
      <c r="Q113" s="630"/>
      <c r="R113" s="628"/>
    </row>
    <row r="114" spans="1:18" s="129" customFormat="1" ht="41.25" customHeight="1">
      <c r="A114" s="67" t="s">
        <v>298</v>
      </c>
      <c r="B114" s="315" t="s">
        <v>209</v>
      </c>
      <c r="C114" s="23" t="s">
        <v>32</v>
      </c>
      <c r="D114" s="35" t="s">
        <v>80</v>
      </c>
      <c r="E114" s="35" t="s">
        <v>211</v>
      </c>
      <c r="F114" s="23" t="s">
        <v>127</v>
      </c>
      <c r="G114" s="330">
        <f>507*1.12*1.05*1.1</f>
        <v>655.8552000000002</v>
      </c>
      <c r="H114" s="23" t="s">
        <v>3</v>
      </c>
      <c r="I114" s="1131">
        <f>G114/5</f>
        <v>131.17104000000003</v>
      </c>
      <c r="J114" s="2090"/>
      <c r="K114" s="658"/>
      <c r="L114" s="628"/>
      <c r="M114" s="629"/>
      <c r="N114" s="658"/>
      <c r="O114" s="628"/>
      <c r="P114" s="629"/>
      <c r="Q114" s="630"/>
      <c r="R114" s="628"/>
    </row>
    <row r="115" spans="1:18" s="129" customFormat="1" ht="41.25" customHeight="1" thickBot="1">
      <c r="A115" s="71" t="s">
        <v>299</v>
      </c>
      <c r="B115" s="316" t="s">
        <v>209</v>
      </c>
      <c r="C115" s="72" t="s">
        <v>32</v>
      </c>
      <c r="D115" s="61" t="s">
        <v>35</v>
      </c>
      <c r="E115" s="61" t="s">
        <v>211</v>
      </c>
      <c r="F115" s="72" t="s">
        <v>127</v>
      </c>
      <c r="G115" s="327">
        <f>999*1.12*1.05*1.1</f>
        <v>1292.3064000000002</v>
      </c>
      <c r="H115" s="72" t="s">
        <v>3</v>
      </c>
      <c r="I115" s="1129">
        <f>G115/10</f>
        <v>129.23064000000002</v>
      </c>
      <c r="J115" s="2090"/>
      <c r="K115" s="658"/>
      <c r="L115" s="628"/>
      <c r="M115" s="629"/>
      <c r="N115" s="658"/>
      <c r="O115" s="628"/>
      <c r="P115" s="629"/>
      <c r="Q115" s="630"/>
      <c r="R115" s="628"/>
    </row>
    <row r="116" spans="1:18" s="165" customFormat="1" ht="41.25" customHeight="1">
      <c r="A116" s="103" t="s">
        <v>234</v>
      </c>
      <c r="B116" s="319" t="s">
        <v>242</v>
      </c>
      <c r="C116" s="98" t="s">
        <v>128</v>
      </c>
      <c r="D116" s="95" t="s">
        <v>243</v>
      </c>
      <c r="E116" s="95" t="s">
        <v>138</v>
      </c>
      <c r="F116" s="98" t="s">
        <v>247</v>
      </c>
      <c r="G116" s="324">
        <f>399*1.12*1.05*1.1</f>
        <v>516.1464000000001</v>
      </c>
      <c r="H116" s="22" t="s">
        <v>3</v>
      </c>
      <c r="I116" s="1130">
        <f>G116/2</f>
        <v>258.07320000000004</v>
      </c>
      <c r="J116" s="2090"/>
      <c r="K116" s="658"/>
      <c r="L116" s="628"/>
      <c r="M116" s="629"/>
      <c r="N116" s="658"/>
      <c r="O116" s="628"/>
      <c r="P116" s="629"/>
      <c r="Q116" s="630"/>
      <c r="R116" s="628"/>
    </row>
    <row r="117" spans="1:18" s="165" customFormat="1" ht="41.25" customHeight="1">
      <c r="A117" s="104" t="s">
        <v>235</v>
      </c>
      <c r="B117" s="317" t="s">
        <v>242</v>
      </c>
      <c r="C117" s="106" t="s">
        <v>128</v>
      </c>
      <c r="D117" s="105" t="s">
        <v>244</v>
      </c>
      <c r="E117" s="105" t="s">
        <v>138</v>
      </c>
      <c r="F117" s="106" t="s">
        <v>247</v>
      </c>
      <c r="G117" s="330">
        <f>702*1.12*1.05*1.1</f>
        <v>908.1072000000003</v>
      </c>
      <c r="H117" s="23" t="s">
        <v>3</v>
      </c>
      <c r="I117" s="1131">
        <f>G117/4</f>
        <v>227.02680000000007</v>
      </c>
      <c r="J117" s="2090"/>
      <c r="K117" s="658"/>
      <c r="L117" s="628"/>
      <c r="M117" s="629"/>
      <c r="N117" s="658"/>
      <c r="O117" s="628"/>
      <c r="P117" s="629"/>
      <c r="Q117" s="630"/>
      <c r="R117" s="628"/>
    </row>
    <row r="118" spans="1:18" s="165" customFormat="1" ht="41.25" customHeight="1">
      <c r="A118" s="103" t="s">
        <v>236</v>
      </c>
      <c r="B118" s="319" t="s">
        <v>242</v>
      </c>
      <c r="C118" s="106" t="s">
        <v>128</v>
      </c>
      <c r="D118" s="95" t="s">
        <v>245</v>
      </c>
      <c r="E118" s="95" t="s">
        <v>138</v>
      </c>
      <c r="F118" s="106" t="s">
        <v>247</v>
      </c>
      <c r="G118" s="781">
        <f>494*1.12*1.05*1.1</f>
        <v>639.0384000000001</v>
      </c>
      <c r="H118" s="627" t="s">
        <v>3</v>
      </c>
      <c r="I118" s="628">
        <f>G118/3</f>
        <v>213.01280000000006</v>
      </c>
      <c r="J118" s="2090"/>
      <c r="K118" s="658"/>
      <c r="L118" s="628"/>
      <c r="M118" s="629"/>
      <c r="N118" s="658"/>
      <c r="O118" s="628"/>
      <c r="P118" s="629"/>
      <c r="Q118" s="630"/>
      <c r="R118" s="628"/>
    </row>
    <row r="119" spans="1:18" s="165" customFormat="1" ht="41.25" customHeight="1">
      <c r="A119" s="103" t="s">
        <v>237</v>
      </c>
      <c r="B119" s="319" t="s">
        <v>242</v>
      </c>
      <c r="C119" s="106" t="s">
        <v>128</v>
      </c>
      <c r="D119" s="95" t="s">
        <v>246</v>
      </c>
      <c r="E119" s="95" t="s">
        <v>138</v>
      </c>
      <c r="F119" s="106" t="s">
        <v>247</v>
      </c>
      <c r="G119" s="330">
        <f>893*1.12*1.05*1.1</f>
        <v>1155.1848000000002</v>
      </c>
      <c r="H119" s="23" t="s">
        <v>3</v>
      </c>
      <c r="I119" s="1131">
        <f>G119/6</f>
        <v>192.53080000000003</v>
      </c>
      <c r="J119" s="2090"/>
      <c r="K119" s="658"/>
      <c r="L119" s="628"/>
      <c r="M119" s="629"/>
      <c r="N119" s="658"/>
      <c r="O119" s="628"/>
      <c r="P119" s="629"/>
      <c r="Q119" s="630"/>
      <c r="R119" s="628"/>
    </row>
    <row r="120" spans="1:18" s="165" customFormat="1" ht="41.25" customHeight="1">
      <c r="A120" s="104" t="s">
        <v>238</v>
      </c>
      <c r="B120" s="317" t="s">
        <v>242</v>
      </c>
      <c r="C120" s="106" t="s">
        <v>128</v>
      </c>
      <c r="D120" s="105" t="s">
        <v>210</v>
      </c>
      <c r="E120" s="105" t="s">
        <v>138</v>
      </c>
      <c r="F120" s="106" t="s">
        <v>247</v>
      </c>
      <c r="G120" s="330">
        <f>595*1.12*1.05*1.1</f>
        <v>769.6920000000002</v>
      </c>
      <c r="H120" s="23" t="s">
        <v>3</v>
      </c>
      <c r="I120" s="1131">
        <f>G120/4</f>
        <v>192.42300000000006</v>
      </c>
      <c r="J120" s="2090"/>
      <c r="K120" s="658"/>
      <c r="L120" s="628"/>
      <c r="M120" s="629"/>
      <c r="N120" s="658"/>
      <c r="O120" s="628"/>
      <c r="P120" s="629"/>
      <c r="Q120" s="630"/>
      <c r="R120" s="628"/>
    </row>
    <row r="121" spans="1:18" s="165" customFormat="1" ht="41.25" customHeight="1">
      <c r="A121" s="103" t="s">
        <v>239</v>
      </c>
      <c r="B121" s="319" t="s">
        <v>242</v>
      </c>
      <c r="C121" s="106" t="s">
        <v>128</v>
      </c>
      <c r="D121" s="95" t="s">
        <v>143</v>
      </c>
      <c r="E121" s="95" t="s">
        <v>138</v>
      </c>
      <c r="F121" s="106" t="s">
        <v>247</v>
      </c>
      <c r="G121" s="330">
        <f>1094*1.12*1.05*1.1</f>
        <v>1415.1984000000004</v>
      </c>
      <c r="H121" s="23" t="s">
        <v>3</v>
      </c>
      <c r="I121" s="1131">
        <f>G121/8</f>
        <v>176.89980000000006</v>
      </c>
      <c r="J121" s="2090"/>
      <c r="K121" s="658"/>
      <c r="L121" s="628"/>
      <c r="M121" s="629"/>
      <c r="N121" s="658"/>
      <c r="O121" s="628"/>
      <c r="P121" s="629"/>
      <c r="Q121" s="630"/>
      <c r="R121" s="628"/>
    </row>
    <row r="122" spans="1:18" s="165" customFormat="1" ht="41.25" customHeight="1">
      <c r="A122" s="103" t="s">
        <v>240</v>
      </c>
      <c r="B122" s="319" t="s">
        <v>242</v>
      </c>
      <c r="C122" s="106" t="s">
        <v>128</v>
      </c>
      <c r="D122" s="95" t="s">
        <v>90</v>
      </c>
      <c r="E122" s="95" t="s">
        <v>138</v>
      </c>
      <c r="F122" s="106" t="s">
        <v>247</v>
      </c>
      <c r="G122" s="330">
        <f>690*1.12*1.05*1.1</f>
        <v>892.5840000000002</v>
      </c>
      <c r="H122" s="23" t="s">
        <v>3</v>
      </c>
      <c r="I122" s="1131">
        <f>G122/5</f>
        <v>178.51680000000005</v>
      </c>
      <c r="J122" s="2090"/>
      <c r="K122" s="658"/>
      <c r="L122" s="628"/>
      <c r="M122" s="629"/>
      <c r="N122" s="658"/>
      <c r="O122" s="628"/>
      <c r="P122" s="629"/>
      <c r="Q122" s="630"/>
      <c r="R122" s="628"/>
    </row>
    <row r="123" spans="1:18" s="165" customFormat="1" ht="41.25" customHeight="1" thickBot="1">
      <c r="A123" s="99" t="s">
        <v>241</v>
      </c>
      <c r="B123" s="552" t="s">
        <v>242</v>
      </c>
      <c r="C123" s="577" t="s">
        <v>128</v>
      </c>
      <c r="D123" s="100" t="s">
        <v>92</v>
      </c>
      <c r="E123" s="100" t="s">
        <v>138</v>
      </c>
      <c r="F123" s="578" t="s">
        <v>247</v>
      </c>
      <c r="G123" s="327">
        <f>1285*1.12*1.05*1.1</f>
        <v>1662.2760000000003</v>
      </c>
      <c r="H123" s="72" t="s">
        <v>3</v>
      </c>
      <c r="I123" s="1129">
        <f>G123/10</f>
        <v>166.22760000000002</v>
      </c>
      <c r="J123" s="2090"/>
      <c r="K123" s="658"/>
      <c r="L123" s="628"/>
      <c r="M123" s="629"/>
      <c r="N123" s="658"/>
      <c r="O123" s="628"/>
      <c r="P123" s="629"/>
      <c r="Q123" s="630"/>
      <c r="R123" s="628"/>
    </row>
    <row r="124" spans="1:18" s="129" customFormat="1" ht="18">
      <c r="A124" s="12"/>
      <c r="B124" s="13"/>
      <c r="C124" s="14"/>
      <c r="D124" s="14"/>
      <c r="E124" s="14"/>
      <c r="F124" s="14"/>
      <c r="G124" s="14"/>
      <c r="H124" s="14"/>
      <c r="I124" s="14"/>
      <c r="J124" s="11"/>
      <c r="K124" s="15"/>
      <c r="L124" s="11"/>
      <c r="M124" s="11"/>
      <c r="N124" s="15"/>
      <c r="O124" s="11"/>
      <c r="P124" s="11"/>
      <c r="Q124" s="15"/>
      <c r="R124" s="11"/>
    </row>
    <row r="125" spans="1:18" s="280" customFormat="1" ht="33.75" customHeight="1">
      <c r="A125" s="1613" t="s">
        <v>212</v>
      </c>
      <c r="B125" s="1613"/>
      <c r="C125" s="1613"/>
      <c r="D125" s="1613"/>
      <c r="E125" s="1613"/>
      <c r="F125" s="1613"/>
      <c r="G125" s="1613"/>
      <c r="H125" s="1613"/>
      <c r="I125" s="1613"/>
      <c r="J125" s="2172"/>
      <c r="K125" s="2172"/>
      <c r="L125" s="2172"/>
      <c r="M125" s="2172"/>
      <c r="N125" s="2172"/>
      <c r="O125" s="2172"/>
      <c r="P125" s="2172"/>
      <c r="Q125" s="2172"/>
      <c r="R125" s="2172"/>
    </row>
    <row r="126" spans="1:18" s="129" customFormat="1" ht="18.75" thickBot="1">
      <c r="A126" s="16"/>
      <c r="B126" s="17"/>
      <c r="C126" s="18"/>
      <c r="D126" s="18"/>
      <c r="E126" s="18"/>
      <c r="F126" s="18"/>
      <c r="G126" s="18"/>
      <c r="H126" s="18"/>
      <c r="I126" s="18"/>
      <c r="J126" s="19"/>
      <c r="K126" s="20"/>
      <c r="L126" s="21"/>
      <c r="M126" s="480"/>
      <c r="N126" s="15"/>
      <c r="O126" s="11"/>
      <c r="P126" s="19"/>
      <c r="Q126" s="20"/>
      <c r="R126" s="21"/>
    </row>
    <row r="127" spans="1:18" s="48" customFormat="1" ht="16.5" thickBot="1">
      <c r="A127" s="29"/>
      <c r="B127" s="30"/>
      <c r="C127" s="166"/>
      <c r="D127" s="27" t="s">
        <v>215</v>
      </c>
      <c r="E127" s="27"/>
      <c r="F127" s="31" t="s">
        <v>216</v>
      </c>
      <c r="G127" s="32" t="s">
        <v>10</v>
      </c>
      <c r="H127" s="28" t="s">
        <v>3</v>
      </c>
      <c r="I127" s="2104" t="s">
        <v>11</v>
      </c>
      <c r="J127" s="2106"/>
      <c r="K127" s="266"/>
      <c r="L127" s="2105"/>
      <c r="M127" s="266"/>
      <c r="N127" s="266"/>
      <c r="O127" s="2105"/>
      <c r="P127" s="266"/>
      <c r="Q127" s="266"/>
      <c r="R127" s="2105"/>
    </row>
    <row r="128" spans="1:18" s="164" customFormat="1" ht="21" thickBot="1">
      <c r="A128" s="96"/>
      <c r="B128" s="547" t="s">
        <v>213</v>
      </c>
      <c r="C128" s="97"/>
      <c r="D128" s="98" t="s">
        <v>214</v>
      </c>
      <c r="E128" s="97"/>
      <c r="F128" s="281" t="s">
        <v>45</v>
      </c>
      <c r="G128" s="322">
        <f>420*1.12*1.05*1.165</f>
        <v>575.4168000000001</v>
      </c>
      <c r="H128" s="109" t="s">
        <v>3</v>
      </c>
      <c r="I128" s="548">
        <f>G128/100</f>
        <v>5.754168000000001</v>
      </c>
      <c r="J128" s="2090"/>
      <c r="K128" s="628"/>
      <c r="L128" s="628"/>
      <c r="M128" s="629"/>
      <c r="N128" s="628"/>
      <c r="O128" s="628"/>
      <c r="P128" s="629"/>
      <c r="Q128" s="628"/>
      <c r="R128" s="628"/>
    </row>
    <row r="129" spans="1:18" s="164" customFormat="1" ht="21" thickBot="1">
      <c r="A129" s="99"/>
      <c r="B129" s="65" t="s">
        <v>870</v>
      </c>
      <c r="C129" s="100"/>
      <c r="D129" s="101" t="s">
        <v>217</v>
      </c>
      <c r="E129" s="100"/>
      <c r="F129" s="336" t="s">
        <v>45</v>
      </c>
      <c r="G129" s="322">
        <f>224*1.12*1.05*1.165</f>
        <v>306.88896000000005</v>
      </c>
      <c r="H129" s="109" t="s">
        <v>3</v>
      </c>
      <c r="I129" s="548">
        <f>G129/100</f>
        <v>3.0688896000000003</v>
      </c>
      <c r="J129" s="2090"/>
      <c r="K129" s="628"/>
      <c r="L129" s="628"/>
      <c r="M129" s="629"/>
      <c r="N129" s="628"/>
      <c r="O129" s="628"/>
      <c r="P129" s="629"/>
      <c r="Q129" s="628"/>
      <c r="R129" s="628"/>
    </row>
    <row r="130" spans="1:18" s="48" customFormat="1" ht="16.5" thickBot="1">
      <c r="A130" s="29"/>
      <c r="B130" s="30"/>
      <c r="C130" s="166"/>
      <c r="D130" s="27" t="s">
        <v>215</v>
      </c>
      <c r="E130" s="27"/>
      <c r="F130" s="31" t="s">
        <v>216</v>
      </c>
      <c r="G130" s="32" t="s">
        <v>10</v>
      </c>
      <c r="H130" s="28" t="s">
        <v>3</v>
      </c>
      <c r="I130" s="2104" t="s">
        <v>220</v>
      </c>
      <c r="J130" s="2106"/>
      <c r="K130" s="266"/>
      <c r="L130" s="2105"/>
      <c r="M130" s="266"/>
      <c r="N130" s="266"/>
      <c r="O130" s="2105"/>
      <c r="P130" s="266"/>
      <c r="Q130" s="266"/>
      <c r="R130" s="2105"/>
    </row>
    <row r="131" spans="1:18" s="164" customFormat="1" ht="61.5" thickBot="1">
      <c r="A131" s="130"/>
      <c r="B131" s="108" t="s">
        <v>218</v>
      </c>
      <c r="C131" s="131"/>
      <c r="D131" s="132" t="s">
        <v>221</v>
      </c>
      <c r="E131" s="131"/>
      <c r="F131" s="549" t="s">
        <v>219</v>
      </c>
      <c r="G131" s="322">
        <f>595*1.12*1.05*1.165</f>
        <v>815.1738000000001</v>
      </c>
      <c r="H131" s="109" t="s">
        <v>3</v>
      </c>
      <c r="I131" s="548">
        <f>G131/500</f>
        <v>1.6303476000000003</v>
      </c>
      <c r="J131" s="2090"/>
      <c r="K131" s="658"/>
      <c r="L131" s="628"/>
      <c r="M131" s="629"/>
      <c r="N131" s="658"/>
      <c r="O131" s="628"/>
      <c r="P131" s="629"/>
      <c r="Q131" s="630"/>
      <c r="R131" s="628"/>
    </row>
    <row r="132" spans="1:18" s="164" customFormat="1" ht="43.5" customHeight="1">
      <c r="A132" s="433"/>
      <c r="B132" s="434" t="s">
        <v>812</v>
      </c>
      <c r="C132" s="644"/>
      <c r="D132" s="294" t="s">
        <v>813</v>
      </c>
      <c r="E132" s="644"/>
      <c r="F132" s="294" t="s">
        <v>219</v>
      </c>
      <c r="G132" s="645">
        <v>2150</v>
      </c>
      <c r="H132" s="326"/>
      <c r="I132" s="646">
        <v>4.3</v>
      </c>
      <c r="J132" s="629"/>
      <c r="K132" s="627"/>
      <c r="L132" s="628"/>
      <c r="M132" s="629"/>
      <c r="N132" s="658"/>
      <c r="O132" s="628"/>
      <c r="P132" s="629"/>
      <c r="Q132" s="630"/>
      <c r="R132" s="628"/>
    </row>
    <row r="133" spans="1:18" s="164" customFormat="1" ht="43.5" customHeight="1">
      <c r="A133" s="444"/>
      <c r="B133" s="436" t="s">
        <v>812</v>
      </c>
      <c r="C133" s="647"/>
      <c r="D133" s="312" t="s">
        <v>814</v>
      </c>
      <c r="E133" s="647"/>
      <c r="F133" s="312" t="s">
        <v>815</v>
      </c>
      <c r="G133" s="648">
        <v>1650</v>
      </c>
      <c r="H133" s="332"/>
      <c r="I133" s="649">
        <v>5.5</v>
      </c>
      <c r="J133" s="629"/>
      <c r="K133" s="627"/>
      <c r="L133" s="628"/>
      <c r="M133" s="629"/>
      <c r="N133" s="658"/>
      <c r="O133" s="628"/>
      <c r="P133" s="629"/>
      <c r="Q133" s="630"/>
      <c r="R133" s="628"/>
    </row>
    <row r="134" spans="1:18" s="164" customFormat="1" ht="43.5" customHeight="1">
      <c r="A134" s="444"/>
      <c r="B134" s="436" t="s">
        <v>816</v>
      </c>
      <c r="C134" s="647"/>
      <c r="D134" s="312" t="s">
        <v>817</v>
      </c>
      <c r="E134" s="647"/>
      <c r="F134" s="312" t="s">
        <v>364</v>
      </c>
      <c r="G134" s="648">
        <v>12800</v>
      </c>
      <c r="H134" s="332"/>
      <c r="I134" s="649"/>
      <c r="J134" s="629"/>
      <c r="K134" s="627"/>
      <c r="L134" s="628"/>
      <c r="M134" s="629"/>
      <c r="N134" s="658"/>
      <c r="O134" s="628"/>
      <c r="P134" s="629"/>
      <c r="Q134" s="630"/>
      <c r="R134" s="628"/>
    </row>
    <row r="135" spans="1:18" s="129" customFormat="1" ht="43.5" customHeight="1">
      <c r="A135" s="444"/>
      <c r="B135" s="436" t="s">
        <v>816</v>
      </c>
      <c r="C135" s="647"/>
      <c r="D135" s="312" t="s">
        <v>818</v>
      </c>
      <c r="E135" s="647"/>
      <c r="F135" s="312" t="s">
        <v>364</v>
      </c>
      <c r="G135" s="648">
        <v>14000</v>
      </c>
      <c r="H135" s="332"/>
      <c r="I135" s="649"/>
      <c r="J135" s="167"/>
      <c r="K135" s="167"/>
      <c r="L135" s="167"/>
      <c r="M135" s="282"/>
      <c r="N135" s="282"/>
      <c r="O135" s="282"/>
      <c r="P135" s="167"/>
      <c r="Q135" s="167"/>
      <c r="R135" s="167"/>
    </row>
    <row r="136" spans="1:18" s="129" customFormat="1" ht="43.5" customHeight="1" thickBot="1">
      <c r="A136" s="625"/>
      <c r="B136" s="650" t="s">
        <v>816</v>
      </c>
      <c r="C136" s="651"/>
      <c r="D136" s="652" t="s">
        <v>819</v>
      </c>
      <c r="E136" s="651"/>
      <c r="F136" s="652" t="s">
        <v>364</v>
      </c>
      <c r="G136" s="653">
        <v>14000</v>
      </c>
      <c r="H136" s="654"/>
      <c r="I136" s="655"/>
      <c r="J136" s="167"/>
      <c r="K136" s="167"/>
      <c r="L136" s="167"/>
      <c r="M136" s="282"/>
      <c r="N136" s="282"/>
      <c r="O136" s="282"/>
      <c r="P136" s="167"/>
      <c r="Q136" s="167"/>
      <c r="R136" s="167"/>
    </row>
    <row r="137" spans="1:18" s="129" customFormat="1" ht="18">
      <c r="A137" s="122"/>
      <c r="J137" s="167"/>
      <c r="K137" s="167"/>
      <c r="L137" s="167"/>
      <c r="M137" s="282"/>
      <c r="N137" s="282"/>
      <c r="O137" s="282"/>
      <c r="P137" s="168"/>
      <c r="Q137" s="167"/>
      <c r="R137" s="167"/>
    </row>
    <row r="138" spans="1:18" s="129" customFormat="1" ht="33.75" customHeight="1">
      <c r="A138" s="1613" t="s">
        <v>126</v>
      </c>
      <c r="B138" s="1613"/>
      <c r="C138" s="1613"/>
      <c r="D138" s="1613"/>
      <c r="E138" s="1613"/>
      <c r="F138" s="1613"/>
      <c r="G138" s="1613"/>
      <c r="H138" s="1613"/>
      <c r="I138" s="1613"/>
      <c r="J138" s="2172"/>
      <c r="K138" s="2172"/>
      <c r="L138" s="2172"/>
      <c r="M138" s="2172"/>
      <c r="N138" s="2172"/>
      <c r="O138" s="2172"/>
      <c r="P138" s="2172"/>
      <c r="Q138" s="2172"/>
      <c r="R138" s="2172"/>
    </row>
    <row r="139" spans="10:18" s="129" customFormat="1" ht="18.75" thickBot="1">
      <c r="J139" s="167"/>
      <c r="K139" s="167"/>
      <c r="L139" s="167"/>
      <c r="M139" s="282"/>
      <c r="N139" s="282"/>
      <c r="O139" s="282"/>
      <c r="P139" s="167"/>
      <c r="Q139" s="167"/>
      <c r="R139" s="167"/>
    </row>
    <row r="140" spans="1:18" s="129" customFormat="1" ht="32.25" thickBot="1">
      <c r="A140" s="25"/>
      <c r="B140" s="33"/>
      <c r="C140" s="10" t="s">
        <v>102</v>
      </c>
      <c r="D140" s="26" t="s">
        <v>24</v>
      </c>
      <c r="E140" s="27" t="s">
        <v>75</v>
      </c>
      <c r="F140" s="245" t="s">
        <v>57</v>
      </c>
      <c r="G140" s="28" t="s">
        <v>2</v>
      </c>
      <c r="H140" s="28" t="s">
        <v>3</v>
      </c>
      <c r="I140" s="2104" t="s">
        <v>103</v>
      </c>
      <c r="J140" s="2106"/>
      <c r="K140" s="266"/>
      <c r="L140" s="2105"/>
      <c r="M140" s="2107"/>
      <c r="N140" s="266"/>
      <c r="O140" s="2105"/>
      <c r="P140" s="2107"/>
      <c r="Q140" s="266"/>
      <c r="R140" s="2105"/>
    </row>
    <row r="141" spans="1:18" s="129" customFormat="1" ht="40.5">
      <c r="A141" s="66" t="s">
        <v>104</v>
      </c>
      <c r="B141" s="63" t="s">
        <v>105</v>
      </c>
      <c r="C141" s="34" t="s">
        <v>106</v>
      </c>
      <c r="D141" s="22" t="s">
        <v>107</v>
      </c>
      <c r="E141" s="34" t="s">
        <v>108</v>
      </c>
      <c r="F141" s="240" t="s">
        <v>109</v>
      </c>
      <c r="G141" s="660">
        <f>161*1.12*1.05*1.165</f>
        <v>220.57644000000005</v>
      </c>
      <c r="H141" s="661" t="s">
        <v>3</v>
      </c>
      <c r="I141" s="2062">
        <f>G141/10</f>
        <v>22.057644000000003</v>
      </c>
      <c r="J141" s="2090"/>
      <c r="K141" s="658"/>
      <c r="L141" s="628"/>
      <c r="M141" s="629"/>
      <c r="N141" s="658"/>
      <c r="O141" s="628"/>
      <c r="P141" s="629"/>
      <c r="Q141" s="630"/>
      <c r="R141" s="628"/>
    </row>
    <row r="142" spans="1:18" s="129" customFormat="1" ht="40.5">
      <c r="A142" s="68" t="s">
        <v>104</v>
      </c>
      <c r="B142" s="65" t="s">
        <v>257</v>
      </c>
      <c r="C142" s="36" t="s">
        <v>106</v>
      </c>
      <c r="D142" s="24" t="s">
        <v>107</v>
      </c>
      <c r="E142" s="36" t="s">
        <v>108</v>
      </c>
      <c r="F142" s="238" t="s">
        <v>109</v>
      </c>
      <c r="G142" s="330">
        <f>271*1.12*1.05*1.165</f>
        <v>371.28084000000007</v>
      </c>
      <c r="H142" s="23" t="s">
        <v>3</v>
      </c>
      <c r="I142" s="1131">
        <f>G142/10</f>
        <v>37.12808400000001</v>
      </c>
      <c r="J142" s="2090"/>
      <c r="K142" s="658"/>
      <c r="L142" s="628"/>
      <c r="M142" s="629"/>
      <c r="N142" s="658"/>
      <c r="O142" s="628"/>
      <c r="P142" s="629"/>
      <c r="Q142" s="630"/>
      <c r="R142" s="628"/>
    </row>
    <row r="143" spans="1:18" s="129" customFormat="1" ht="40.5">
      <c r="A143" s="67" t="s">
        <v>110</v>
      </c>
      <c r="B143" s="64" t="s">
        <v>105</v>
      </c>
      <c r="C143" s="35" t="s">
        <v>106</v>
      </c>
      <c r="D143" s="23" t="s">
        <v>111</v>
      </c>
      <c r="E143" s="35" t="s">
        <v>108</v>
      </c>
      <c r="F143" s="239" t="s">
        <v>131</v>
      </c>
      <c r="G143" s="330">
        <f>475*1.12*1.05*1.165</f>
        <v>650.769</v>
      </c>
      <c r="H143" s="23" t="s">
        <v>3</v>
      </c>
      <c r="I143" s="1131">
        <f>G143/30</f>
        <v>21.6923</v>
      </c>
      <c r="J143" s="2090"/>
      <c r="K143" s="658"/>
      <c r="L143" s="628"/>
      <c r="M143" s="629"/>
      <c r="N143" s="658"/>
      <c r="O143" s="628"/>
      <c r="P143" s="629"/>
      <c r="Q143" s="630"/>
      <c r="R143" s="628"/>
    </row>
    <row r="144" spans="1:18" s="129" customFormat="1" ht="40.5">
      <c r="A144" s="67" t="s">
        <v>110</v>
      </c>
      <c r="B144" s="65" t="s">
        <v>257</v>
      </c>
      <c r="C144" s="35" t="s">
        <v>106</v>
      </c>
      <c r="D144" s="23" t="s">
        <v>111</v>
      </c>
      <c r="E144" s="35" t="s">
        <v>108</v>
      </c>
      <c r="F144" s="239" t="s">
        <v>131</v>
      </c>
      <c r="G144" s="330">
        <f>815*1.12*1.05*1.165</f>
        <v>1116.5826000000002</v>
      </c>
      <c r="H144" s="23" t="s">
        <v>3</v>
      </c>
      <c r="I144" s="1131">
        <f>G144/30</f>
        <v>37.21942000000001</v>
      </c>
      <c r="J144" s="2090"/>
      <c r="K144" s="658"/>
      <c r="L144" s="628"/>
      <c r="M144" s="629"/>
      <c r="N144" s="658"/>
      <c r="O144" s="628"/>
      <c r="P144" s="629"/>
      <c r="Q144" s="630"/>
      <c r="R144" s="628"/>
    </row>
    <row r="145" spans="1:18" s="129" customFormat="1" ht="40.5">
      <c r="A145" s="67" t="s">
        <v>112</v>
      </c>
      <c r="B145" s="64" t="s">
        <v>105</v>
      </c>
      <c r="C145" s="35" t="s">
        <v>106</v>
      </c>
      <c r="D145" s="23" t="s">
        <v>113</v>
      </c>
      <c r="E145" s="35" t="s">
        <v>108</v>
      </c>
      <c r="F145" s="239" t="s">
        <v>131</v>
      </c>
      <c r="G145" s="330">
        <f>786*1.12*1.05*1.165</f>
        <v>1076.8514400000001</v>
      </c>
      <c r="H145" s="23" t="s">
        <v>3</v>
      </c>
      <c r="I145" s="1131">
        <f>G145/50</f>
        <v>21.5370288</v>
      </c>
      <c r="J145" s="2090"/>
      <c r="K145" s="658"/>
      <c r="L145" s="628"/>
      <c r="M145" s="629"/>
      <c r="N145" s="658"/>
      <c r="O145" s="628"/>
      <c r="P145" s="629"/>
      <c r="Q145" s="630"/>
      <c r="R145" s="628"/>
    </row>
    <row r="146" spans="1:18" s="129" customFormat="1" ht="41.25" thickBot="1">
      <c r="A146" s="71" t="s">
        <v>112</v>
      </c>
      <c r="B146" s="65" t="s">
        <v>257</v>
      </c>
      <c r="C146" s="61" t="s">
        <v>106</v>
      </c>
      <c r="D146" s="72" t="s">
        <v>113</v>
      </c>
      <c r="E146" s="61" t="s">
        <v>108</v>
      </c>
      <c r="F146" s="241" t="s">
        <v>131</v>
      </c>
      <c r="G146" s="327">
        <f>1357*1.12*1.05*1.165</f>
        <v>1859.1442800000002</v>
      </c>
      <c r="H146" s="72" t="s">
        <v>3</v>
      </c>
      <c r="I146" s="1129">
        <f>G146/50</f>
        <v>37.182885600000006</v>
      </c>
      <c r="J146" s="2090"/>
      <c r="K146" s="658"/>
      <c r="L146" s="628"/>
      <c r="M146" s="629"/>
      <c r="N146" s="658"/>
      <c r="O146" s="628"/>
      <c r="P146" s="629"/>
      <c r="Q146" s="630"/>
      <c r="R146" s="628"/>
    </row>
    <row r="147" spans="1:18" s="117" customFormat="1" ht="40.5">
      <c r="A147" s="66" t="s">
        <v>114</v>
      </c>
      <c r="B147" s="63" t="s">
        <v>105</v>
      </c>
      <c r="C147" s="34" t="s">
        <v>106</v>
      </c>
      <c r="D147" s="22" t="s">
        <v>115</v>
      </c>
      <c r="E147" s="34" t="s">
        <v>108</v>
      </c>
      <c r="F147" s="238" t="s">
        <v>131</v>
      </c>
      <c r="G147" s="660">
        <f>241*1.12*1.05*1.165</f>
        <v>330.17964000000006</v>
      </c>
      <c r="H147" s="661" t="s">
        <v>3</v>
      </c>
      <c r="I147" s="2062">
        <f>G147/10</f>
        <v>33.017964000000006</v>
      </c>
      <c r="J147" s="2090"/>
      <c r="K147" s="658"/>
      <c r="L147" s="628"/>
      <c r="M147" s="629"/>
      <c r="N147" s="658"/>
      <c r="O147" s="628"/>
      <c r="P147" s="629"/>
      <c r="Q147" s="630"/>
      <c r="R147" s="628"/>
    </row>
    <row r="148" spans="1:18" s="117" customFormat="1" ht="40.5">
      <c r="A148" s="68" t="s">
        <v>114</v>
      </c>
      <c r="B148" s="65" t="s">
        <v>257</v>
      </c>
      <c r="C148" s="36" t="s">
        <v>106</v>
      </c>
      <c r="D148" s="24" t="s">
        <v>115</v>
      </c>
      <c r="E148" s="36" t="s">
        <v>108</v>
      </c>
      <c r="F148" s="238" t="s">
        <v>131</v>
      </c>
      <c r="G148" s="330">
        <f>329*1.12*1.05*1.165</f>
        <v>450.7431600000001</v>
      </c>
      <c r="H148" s="23" t="s">
        <v>3</v>
      </c>
      <c r="I148" s="1131">
        <f>G148/10</f>
        <v>45.07431600000001</v>
      </c>
      <c r="J148" s="2090"/>
      <c r="K148" s="658"/>
      <c r="L148" s="628"/>
      <c r="M148" s="629"/>
      <c r="N148" s="658"/>
      <c r="O148" s="628"/>
      <c r="P148" s="629"/>
      <c r="Q148" s="630"/>
      <c r="R148" s="628"/>
    </row>
    <row r="149" spans="1:18" s="117" customFormat="1" ht="40.5">
      <c r="A149" s="67" t="s">
        <v>116</v>
      </c>
      <c r="B149" s="64" t="s">
        <v>105</v>
      </c>
      <c r="C149" s="35" t="s">
        <v>106</v>
      </c>
      <c r="D149" s="23" t="s">
        <v>117</v>
      </c>
      <c r="E149" s="35" t="s">
        <v>108</v>
      </c>
      <c r="F149" s="239" t="s">
        <v>132</v>
      </c>
      <c r="G149" s="330">
        <f>715*1.12*1.05*1.165</f>
        <v>979.5786000000002</v>
      </c>
      <c r="H149" s="23" t="s">
        <v>3</v>
      </c>
      <c r="I149" s="1131">
        <f>G149/30</f>
        <v>32.652620000000006</v>
      </c>
      <c r="J149" s="2090"/>
      <c r="K149" s="658"/>
      <c r="L149" s="628"/>
      <c r="M149" s="629"/>
      <c r="N149" s="658"/>
      <c r="O149" s="628"/>
      <c r="P149" s="629"/>
      <c r="Q149" s="630"/>
      <c r="R149" s="628"/>
    </row>
    <row r="150" spans="1:18" s="117" customFormat="1" ht="40.5">
      <c r="A150" s="67" t="s">
        <v>116</v>
      </c>
      <c r="B150" s="65" t="s">
        <v>257</v>
      </c>
      <c r="C150" s="35" t="s">
        <v>106</v>
      </c>
      <c r="D150" s="23" t="s">
        <v>117</v>
      </c>
      <c r="E150" s="35" t="s">
        <v>108</v>
      </c>
      <c r="F150" s="239" t="s">
        <v>132</v>
      </c>
      <c r="G150" s="330">
        <f>988*1.12*1.05*1.165</f>
        <v>1353.5995200000002</v>
      </c>
      <c r="H150" s="23" t="s">
        <v>3</v>
      </c>
      <c r="I150" s="1131">
        <f>G150/30</f>
        <v>45.11998400000001</v>
      </c>
      <c r="J150" s="2090"/>
      <c r="K150" s="658"/>
      <c r="L150" s="628"/>
      <c r="M150" s="629"/>
      <c r="N150" s="658"/>
      <c r="O150" s="628"/>
      <c r="P150" s="629"/>
      <c r="Q150" s="630"/>
      <c r="R150" s="628"/>
    </row>
    <row r="151" spans="1:18" s="117" customFormat="1" ht="40.5">
      <c r="A151" s="67" t="s">
        <v>118</v>
      </c>
      <c r="B151" s="64" t="s">
        <v>105</v>
      </c>
      <c r="C151" s="35" t="s">
        <v>106</v>
      </c>
      <c r="D151" s="23" t="s">
        <v>119</v>
      </c>
      <c r="E151" s="35" t="s">
        <v>108</v>
      </c>
      <c r="F151" s="239" t="s">
        <v>132</v>
      </c>
      <c r="G151" s="330">
        <f>1187*1.12*1.05*1.165</f>
        <v>1626.23748</v>
      </c>
      <c r="H151" s="23" t="s">
        <v>3</v>
      </c>
      <c r="I151" s="1131">
        <f>G151/50</f>
        <v>32.5247496</v>
      </c>
      <c r="J151" s="2090"/>
      <c r="K151" s="658"/>
      <c r="L151" s="628"/>
      <c r="M151" s="629"/>
      <c r="N151" s="658"/>
      <c r="O151" s="628"/>
      <c r="P151" s="629"/>
      <c r="Q151" s="630"/>
      <c r="R151" s="628"/>
    </row>
    <row r="152" spans="1:18" s="117" customFormat="1" ht="41.25" thickBot="1">
      <c r="A152" s="71" t="s">
        <v>118</v>
      </c>
      <c r="B152" s="509" t="s">
        <v>257</v>
      </c>
      <c r="C152" s="61" t="s">
        <v>106</v>
      </c>
      <c r="D152" s="72" t="s">
        <v>119</v>
      </c>
      <c r="E152" s="61" t="s">
        <v>108</v>
      </c>
      <c r="F152" s="277" t="s">
        <v>132</v>
      </c>
      <c r="G152" s="327">
        <f>1647*1.12*1.05*1.165</f>
        <v>2256.4558800000004</v>
      </c>
      <c r="H152" s="72" t="s">
        <v>3</v>
      </c>
      <c r="I152" s="1129">
        <f>G152/50</f>
        <v>45.12911760000001</v>
      </c>
      <c r="J152" s="2090"/>
      <c r="K152" s="658"/>
      <c r="L152" s="628"/>
      <c r="M152" s="629"/>
      <c r="N152" s="658"/>
      <c r="O152" s="628"/>
      <c r="P152" s="629"/>
      <c r="Q152" s="630"/>
      <c r="R152" s="628"/>
    </row>
    <row r="153" spans="1:18" s="117" customFormat="1" ht="40.5">
      <c r="A153" s="68" t="s">
        <v>120</v>
      </c>
      <c r="B153" s="65" t="s">
        <v>105</v>
      </c>
      <c r="C153" s="36" t="s">
        <v>106</v>
      </c>
      <c r="D153" s="24" t="s">
        <v>121</v>
      </c>
      <c r="E153" s="36" t="s">
        <v>108</v>
      </c>
      <c r="F153" s="240" t="s">
        <v>131</v>
      </c>
      <c r="G153" s="660">
        <f>318*1.12*1.05*1.165</f>
        <v>435.67272</v>
      </c>
      <c r="H153" s="661" t="s">
        <v>3</v>
      </c>
      <c r="I153" s="2062">
        <f>G153/10</f>
        <v>43.567272</v>
      </c>
      <c r="J153" s="2090"/>
      <c r="K153" s="658"/>
      <c r="L153" s="628"/>
      <c r="M153" s="629"/>
      <c r="N153" s="658"/>
      <c r="O153" s="628"/>
      <c r="P153" s="629"/>
      <c r="Q153" s="630"/>
      <c r="R153" s="628"/>
    </row>
    <row r="154" spans="1:18" s="117" customFormat="1" ht="40.5">
      <c r="A154" s="68" t="s">
        <v>120</v>
      </c>
      <c r="B154" s="65" t="s">
        <v>257</v>
      </c>
      <c r="C154" s="36" t="s">
        <v>106</v>
      </c>
      <c r="D154" s="24" t="s">
        <v>121</v>
      </c>
      <c r="E154" s="36" t="s">
        <v>108</v>
      </c>
      <c r="F154" s="238" t="s">
        <v>131</v>
      </c>
      <c r="G154" s="330">
        <f>393*1.12*1.05*1.165</f>
        <v>538.4257200000001</v>
      </c>
      <c r="H154" s="23" t="s">
        <v>3</v>
      </c>
      <c r="I154" s="1131">
        <f>G154/10</f>
        <v>53.842572000000004</v>
      </c>
      <c r="J154" s="2090"/>
      <c r="K154" s="658"/>
      <c r="L154" s="628"/>
      <c r="M154" s="629"/>
      <c r="N154" s="658"/>
      <c r="O154" s="628"/>
      <c r="P154" s="629"/>
      <c r="Q154" s="630"/>
      <c r="R154" s="628"/>
    </row>
    <row r="155" spans="1:18" s="117" customFormat="1" ht="40.5">
      <c r="A155" s="67" t="s">
        <v>122</v>
      </c>
      <c r="B155" s="64" t="s">
        <v>105</v>
      </c>
      <c r="C155" s="35" t="s">
        <v>106</v>
      </c>
      <c r="D155" s="23" t="s">
        <v>123</v>
      </c>
      <c r="E155" s="35" t="s">
        <v>108</v>
      </c>
      <c r="F155" s="239" t="s">
        <v>132</v>
      </c>
      <c r="G155" s="330">
        <f>944*1.12*1.05*1.165</f>
        <v>1293.3177600000004</v>
      </c>
      <c r="H155" s="23" t="s">
        <v>3</v>
      </c>
      <c r="I155" s="1131">
        <f>G155/30</f>
        <v>43.11059200000001</v>
      </c>
      <c r="J155" s="2090"/>
      <c r="K155" s="658"/>
      <c r="L155" s="628"/>
      <c r="M155" s="629"/>
      <c r="N155" s="658"/>
      <c r="O155" s="628"/>
      <c r="P155" s="629"/>
      <c r="Q155" s="630"/>
      <c r="R155" s="628"/>
    </row>
    <row r="156" spans="1:18" s="117" customFormat="1" ht="40.5">
      <c r="A156" s="67" t="s">
        <v>122</v>
      </c>
      <c r="B156" s="65" t="s">
        <v>257</v>
      </c>
      <c r="C156" s="35" t="s">
        <v>106</v>
      </c>
      <c r="D156" s="23" t="s">
        <v>123</v>
      </c>
      <c r="E156" s="35" t="s">
        <v>108</v>
      </c>
      <c r="F156" s="239" t="s">
        <v>132</v>
      </c>
      <c r="G156" s="330">
        <f>1181*1.12*1.05*1.165</f>
        <v>1618.0172400000001</v>
      </c>
      <c r="H156" s="23" t="s">
        <v>3</v>
      </c>
      <c r="I156" s="1131">
        <f>G156/30</f>
        <v>53.933908</v>
      </c>
      <c r="J156" s="2090"/>
      <c r="K156" s="658"/>
      <c r="L156" s="628"/>
      <c r="M156" s="629"/>
      <c r="N156" s="658"/>
      <c r="O156" s="628"/>
      <c r="P156" s="629"/>
      <c r="Q156" s="630"/>
      <c r="R156" s="628"/>
    </row>
    <row r="157" spans="1:18" s="117" customFormat="1" ht="40.5">
      <c r="A157" s="67" t="s">
        <v>124</v>
      </c>
      <c r="B157" s="64" t="s">
        <v>105</v>
      </c>
      <c r="C157" s="35" t="s">
        <v>106</v>
      </c>
      <c r="D157" s="23" t="s">
        <v>125</v>
      </c>
      <c r="E157" s="35" t="s">
        <v>108</v>
      </c>
      <c r="F157" s="239" t="s">
        <v>132</v>
      </c>
      <c r="G157" s="330">
        <f>1570*1.12*1.05*1.165</f>
        <v>2150.9628000000002</v>
      </c>
      <c r="H157" s="23" t="s">
        <v>3</v>
      </c>
      <c r="I157" s="1131">
        <f>G157/50</f>
        <v>43.019256000000006</v>
      </c>
      <c r="J157" s="2090"/>
      <c r="K157" s="658"/>
      <c r="L157" s="628"/>
      <c r="M157" s="629"/>
      <c r="N157" s="658"/>
      <c r="O157" s="628"/>
      <c r="P157" s="629"/>
      <c r="Q157" s="630"/>
      <c r="R157" s="628"/>
    </row>
    <row r="158" spans="1:18" s="117" customFormat="1" ht="41.25" thickBot="1">
      <c r="A158" s="71" t="s">
        <v>124</v>
      </c>
      <c r="B158" s="509" t="s">
        <v>257</v>
      </c>
      <c r="C158" s="61" t="s">
        <v>106</v>
      </c>
      <c r="D158" s="72" t="s">
        <v>125</v>
      </c>
      <c r="E158" s="61" t="s">
        <v>108</v>
      </c>
      <c r="F158" s="241" t="s">
        <v>132</v>
      </c>
      <c r="G158" s="327">
        <f>1969*1.12*1.05*1.165</f>
        <v>2697.6087600000005</v>
      </c>
      <c r="H158" s="72" t="s">
        <v>3</v>
      </c>
      <c r="I158" s="1129">
        <f>G158/50</f>
        <v>53.95217520000001</v>
      </c>
      <c r="J158" s="2090"/>
      <c r="K158" s="658"/>
      <c r="L158" s="628"/>
      <c r="M158" s="629"/>
      <c r="N158" s="658"/>
      <c r="O158" s="628"/>
      <c r="P158" s="629"/>
      <c r="Q158" s="630"/>
      <c r="R158" s="628"/>
    </row>
    <row r="159" spans="1:18" s="117" customFormat="1" ht="40.5">
      <c r="A159" s="68" t="s">
        <v>150</v>
      </c>
      <c r="B159" s="65" t="s">
        <v>105</v>
      </c>
      <c r="C159" s="36" t="s">
        <v>106</v>
      </c>
      <c r="D159" s="24" t="s">
        <v>154</v>
      </c>
      <c r="E159" s="36" t="s">
        <v>76</v>
      </c>
      <c r="F159" s="239" t="s">
        <v>132</v>
      </c>
      <c r="G159" s="660">
        <f>479*1.12*1.05*1.165</f>
        <v>656.2491600000001</v>
      </c>
      <c r="H159" s="661" t="s">
        <v>3</v>
      </c>
      <c r="I159" s="2062">
        <f>G159/10</f>
        <v>65.62491600000001</v>
      </c>
      <c r="J159" s="2090"/>
      <c r="K159" s="658"/>
      <c r="L159" s="628"/>
      <c r="M159" s="629"/>
      <c r="N159" s="658"/>
      <c r="O159" s="628"/>
      <c r="P159" s="629"/>
      <c r="Q159" s="630"/>
      <c r="R159" s="628"/>
    </row>
    <row r="160" spans="1:18" s="117" customFormat="1" ht="40.5">
      <c r="A160" s="67" t="s">
        <v>151</v>
      </c>
      <c r="B160" s="64" t="s">
        <v>105</v>
      </c>
      <c r="C160" s="35" t="s">
        <v>106</v>
      </c>
      <c r="D160" s="23" t="s">
        <v>155</v>
      </c>
      <c r="E160" s="36" t="s">
        <v>76</v>
      </c>
      <c r="F160" s="239" t="s">
        <v>132</v>
      </c>
      <c r="G160" s="330">
        <f>1427*1.12*1.05*1.165</f>
        <v>1955.0470800000003</v>
      </c>
      <c r="H160" s="23" t="s">
        <v>3</v>
      </c>
      <c r="I160" s="1131">
        <f>G160/30</f>
        <v>65.16823600000001</v>
      </c>
      <c r="J160" s="2090"/>
      <c r="K160" s="658"/>
      <c r="L160" s="628"/>
      <c r="M160" s="629"/>
      <c r="N160" s="658"/>
      <c r="O160" s="628"/>
      <c r="P160" s="629"/>
      <c r="Q160" s="630"/>
      <c r="R160" s="628"/>
    </row>
    <row r="161" spans="1:18" s="117" customFormat="1" ht="41.25" thickBot="1">
      <c r="A161" s="446" t="s">
        <v>152</v>
      </c>
      <c r="B161" s="447" t="s">
        <v>105</v>
      </c>
      <c r="C161" s="448" t="s">
        <v>106</v>
      </c>
      <c r="D161" s="449" t="s">
        <v>156</v>
      </c>
      <c r="E161" s="450" t="s">
        <v>76</v>
      </c>
      <c r="F161" s="451" t="s">
        <v>132</v>
      </c>
      <c r="G161" s="327">
        <f>2362*1.12*1.05*1.165</f>
        <v>3236.0344800000003</v>
      </c>
      <c r="H161" s="72" t="s">
        <v>3</v>
      </c>
      <c r="I161" s="1129">
        <f>G161/50</f>
        <v>64.7206896</v>
      </c>
      <c r="J161" s="2090"/>
      <c r="K161" s="658"/>
      <c r="L161" s="628"/>
      <c r="M161" s="629"/>
      <c r="N161" s="658"/>
      <c r="O161" s="628"/>
      <c r="P161" s="629"/>
      <c r="Q161" s="630"/>
      <c r="R161" s="628"/>
    </row>
    <row r="162" spans="1:18" s="117" customFormat="1" ht="41.25" thickBot="1">
      <c r="A162" s="107" t="s">
        <v>153</v>
      </c>
      <c r="B162" s="108" t="s">
        <v>105</v>
      </c>
      <c r="C162" s="443" t="s">
        <v>106</v>
      </c>
      <c r="D162" s="109" t="s">
        <v>175</v>
      </c>
      <c r="E162" s="443" t="s">
        <v>76</v>
      </c>
      <c r="F162" s="243" t="s">
        <v>132</v>
      </c>
      <c r="G162" s="322">
        <f>799*1.12*1.05*1.165</f>
        <v>1094.6619600000001</v>
      </c>
      <c r="H162" s="109" t="s">
        <v>3</v>
      </c>
      <c r="I162" s="548">
        <f>G162/10</f>
        <v>109.46619600000001</v>
      </c>
      <c r="J162" s="2090"/>
      <c r="K162" s="658"/>
      <c r="L162" s="628"/>
      <c r="M162" s="629"/>
      <c r="N162" s="658"/>
      <c r="O162" s="628"/>
      <c r="P162" s="629"/>
      <c r="Q162" s="630"/>
      <c r="R162" s="628"/>
    </row>
    <row r="163" spans="1:18" s="117" customFormat="1" ht="41.25" thickBot="1">
      <c r="A163" s="71" t="s">
        <v>133</v>
      </c>
      <c r="B163" s="505" t="s">
        <v>871</v>
      </c>
      <c r="C163" s="61" t="s">
        <v>106</v>
      </c>
      <c r="D163" s="72" t="s">
        <v>134</v>
      </c>
      <c r="E163" s="61" t="s">
        <v>76</v>
      </c>
      <c r="F163" s="243" t="s">
        <v>131</v>
      </c>
      <c r="G163" s="322">
        <f>266*1.12*1.05*1.165</f>
        <v>364.43064000000004</v>
      </c>
      <c r="H163" s="109" t="s">
        <v>3</v>
      </c>
      <c r="I163" s="548">
        <f>G163/8</f>
        <v>45.553830000000005</v>
      </c>
      <c r="J163" s="2090"/>
      <c r="K163" s="658"/>
      <c r="L163" s="628"/>
      <c r="M163" s="629"/>
      <c r="N163" s="658"/>
      <c r="O163" s="628"/>
      <c r="P163" s="629"/>
      <c r="Q163" s="630"/>
      <c r="R163" s="628"/>
    </row>
    <row r="165" spans="1:18" ht="30" customHeight="1">
      <c r="A165" s="1609" t="s">
        <v>325</v>
      </c>
      <c r="B165" s="1609"/>
      <c r="C165" s="1609"/>
      <c r="D165" s="1609"/>
      <c r="E165" s="1609"/>
      <c r="F165" s="1609"/>
      <c r="G165" s="1609"/>
      <c r="H165" s="1609"/>
      <c r="I165" s="1609"/>
      <c r="J165" s="2171"/>
      <c r="K165" s="2171"/>
      <c r="L165" s="2171"/>
      <c r="M165" s="2171"/>
      <c r="N165" s="2171"/>
      <c r="O165" s="2171"/>
      <c r="P165" s="2171"/>
      <c r="Q165" s="2171"/>
      <c r="R165" s="2171"/>
    </row>
    <row r="166" spans="1:18" ht="11.25" customHeight="1" thickBot="1">
      <c r="A166" s="16"/>
      <c r="B166" s="17"/>
      <c r="C166" s="18"/>
      <c r="D166" s="18"/>
      <c r="E166" s="18"/>
      <c r="F166" s="18"/>
      <c r="G166" s="18"/>
      <c r="H166" s="18"/>
      <c r="I166" s="18"/>
      <c r="J166" s="18"/>
      <c r="K166" s="19"/>
      <c r="L166" s="20"/>
      <c r="M166" s="11"/>
      <c r="N166" s="480"/>
      <c r="O166" s="15"/>
      <c r="P166" s="21"/>
      <c r="Q166" s="19"/>
      <c r="R166" s="20"/>
    </row>
    <row r="167" spans="1:19" ht="21.75" customHeight="1" thickBot="1">
      <c r="A167" s="29"/>
      <c r="B167" s="30"/>
      <c r="C167" s="128"/>
      <c r="D167" s="27" t="s">
        <v>313</v>
      </c>
      <c r="E167" s="27"/>
      <c r="F167" s="31"/>
      <c r="G167" s="270"/>
      <c r="H167" s="271"/>
      <c r="I167" s="271"/>
      <c r="J167" s="2106"/>
      <c r="K167" s="266"/>
      <c r="L167" s="2105"/>
      <c r="M167" s="266"/>
      <c r="N167" s="266"/>
      <c r="O167" s="2105"/>
      <c r="P167" s="266"/>
      <c r="Q167" s="266"/>
      <c r="R167" s="2105"/>
      <c r="S167" s="118"/>
    </row>
    <row r="168" spans="1:23" s="676" customFormat="1" ht="33.75" customHeight="1">
      <c r="A168" s="320" t="s">
        <v>872</v>
      </c>
      <c r="B168" s="279" t="s">
        <v>315</v>
      </c>
      <c r="C168" s="790"/>
      <c r="D168" s="644" t="s">
        <v>873</v>
      </c>
      <c r="E168" s="294" t="s">
        <v>77</v>
      </c>
      <c r="F168" s="97" t="s">
        <v>45</v>
      </c>
      <c r="G168" s="324">
        <f>T168*1.12*1.05*1.1</f>
        <v>25.872000000000007</v>
      </c>
      <c r="H168" s="22" t="s">
        <v>3</v>
      </c>
      <c r="I168" s="1130">
        <f>G168/100</f>
        <v>0.25872000000000006</v>
      </c>
      <c r="J168" s="2090"/>
      <c r="K168" s="658"/>
      <c r="L168" s="628"/>
      <c r="M168" s="629"/>
      <c r="N168" s="658"/>
      <c r="O168" s="628"/>
      <c r="P168" s="629"/>
      <c r="Q168" s="630"/>
      <c r="R168" s="628"/>
      <c r="S168" s="290"/>
      <c r="T168" s="676">
        <v>20</v>
      </c>
      <c r="U168" s="676">
        <v>19</v>
      </c>
      <c r="V168" s="676">
        <v>19</v>
      </c>
      <c r="W168" s="676">
        <v>18</v>
      </c>
    </row>
    <row r="169" spans="1:18" s="676" customFormat="1" ht="30" customHeight="1">
      <c r="A169" s="1071" t="s">
        <v>872</v>
      </c>
      <c r="B169" s="1072" t="s">
        <v>315</v>
      </c>
      <c r="C169" s="1073"/>
      <c r="D169" s="1074" t="s">
        <v>873</v>
      </c>
      <c r="E169" s="441" t="s">
        <v>76</v>
      </c>
      <c r="F169" s="95" t="s">
        <v>45</v>
      </c>
      <c r="G169" s="1075">
        <v>18.110400000000006</v>
      </c>
      <c r="H169" s="1076" t="s">
        <v>3</v>
      </c>
      <c r="I169" s="2108">
        <v>0.18110400000000004</v>
      </c>
      <c r="J169" s="2113"/>
      <c r="K169" s="2110"/>
      <c r="L169" s="2111"/>
      <c r="M169" s="2109"/>
      <c r="N169" s="2110"/>
      <c r="O169" s="2111"/>
      <c r="P169" s="2110"/>
      <c r="Q169" s="2110"/>
      <c r="R169" s="2111"/>
    </row>
    <row r="170" spans="1:24" s="676" customFormat="1" ht="37.5" customHeight="1">
      <c r="A170" s="1071" t="s">
        <v>1090</v>
      </c>
      <c r="B170" s="1072" t="s">
        <v>315</v>
      </c>
      <c r="C170" s="1073"/>
      <c r="D170" s="1074" t="s">
        <v>1091</v>
      </c>
      <c r="E170" s="441" t="s">
        <v>76</v>
      </c>
      <c r="F170" s="98" t="s">
        <v>45</v>
      </c>
      <c r="G170" s="330">
        <f aca="true" t="shared" si="4" ref="G170:G176">T170*1.12*1.05*1.1</f>
        <v>50.450400000000016</v>
      </c>
      <c r="H170" s="23" t="s">
        <v>3</v>
      </c>
      <c r="I170" s="1131">
        <f aca="true" t="shared" si="5" ref="I170:I176">G170/100</f>
        <v>0.5045040000000002</v>
      </c>
      <c r="J170" s="2114"/>
      <c r="K170" s="658"/>
      <c r="L170" s="628"/>
      <c r="M170" s="2112"/>
      <c r="N170" s="658"/>
      <c r="O170" s="628"/>
      <c r="P170" s="629"/>
      <c r="Q170" s="630"/>
      <c r="R170" s="628"/>
      <c r="T170" s="676">
        <v>39</v>
      </c>
      <c r="U170" s="676">
        <v>38</v>
      </c>
      <c r="V170" s="676">
        <v>37</v>
      </c>
      <c r="W170" s="676">
        <v>35</v>
      </c>
      <c r="X170" s="676">
        <v>34</v>
      </c>
    </row>
    <row r="171" spans="1:23" s="676" customFormat="1" ht="33.75" customHeight="1">
      <c r="A171" s="104" t="s">
        <v>874</v>
      </c>
      <c r="B171" s="697" t="s">
        <v>315</v>
      </c>
      <c r="C171" s="105"/>
      <c r="D171" s="106" t="s">
        <v>875</v>
      </c>
      <c r="E171" s="105" t="s">
        <v>77</v>
      </c>
      <c r="F171" s="281" t="s">
        <v>45</v>
      </c>
      <c r="G171" s="330">
        <f t="shared" si="4"/>
        <v>65.97360000000002</v>
      </c>
      <c r="H171" s="23" t="s">
        <v>3</v>
      </c>
      <c r="I171" s="1131">
        <f t="shared" si="5"/>
        <v>0.6597360000000002</v>
      </c>
      <c r="J171" s="2090"/>
      <c r="K171" s="658"/>
      <c r="L171" s="628"/>
      <c r="M171" s="629"/>
      <c r="N171" s="658"/>
      <c r="O171" s="628"/>
      <c r="P171" s="629"/>
      <c r="Q171" s="630"/>
      <c r="R171" s="628"/>
      <c r="S171" s="290"/>
      <c r="T171" s="676">
        <v>51</v>
      </c>
      <c r="U171" s="676">
        <v>50</v>
      </c>
      <c r="V171" s="676">
        <v>48</v>
      </c>
      <c r="W171" s="676">
        <v>46</v>
      </c>
    </row>
    <row r="172" spans="1:23" ht="41.25" customHeight="1">
      <c r="A172" s="103" t="s">
        <v>314</v>
      </c>
      <c r="B172" s="65" t="s">
        <v>315</v>
      </c>
      <c r="C172" s="95"/>
      <c r="D172" s="98" t="s">
        <v>316</v>
      </c>
      <c r="E172" s="95" t="s">
        <v>76</v>
      </c>
      <c r="F172" s="98" t="s">
        <v>45</v>
      </c>
      <c r="G172" s="330">
        <f t="shared" si="4"/>
        <v>68.56080000000001</v>
      </c>
      <c r="H172" s="23" t="s">
        <v>3</v>
      </c>
      <c r="I172" s="1131">
        <f t="shared" si="5"/>
        <v>0.6856080000000001</v>
      </c>
      <c r="J172" s="2090"/>
      <c r="K172" s="658"/>
      <c r="L172" s="628"/>
      <c r="M172" s="629"/>
      <c r="N172" s="658"/>
      <c r="O172" s="628"/>
      <c r="P172" s="629"/>
      <c r="Q172" s="630"/>
      <c r="R172" s="628"/>
      <c r="S172" s="118"/>
      <c r="T172" s="37">
        <v>53</v>
      </c>
      <c r="U172" s="37">
        <v>51</v>
      </c>
      <c r="V172" s="37">
        <v>49</v>
      </c>
      <c r="W172" s="37">
        <v>47</v>
      </c>
    </row>
    <row r="173" spans="1:24" s="702" customFormat="1" ht="41.25" customHeight="1">
      <c r="A173" s="104" t="s">
        <v>314</v>
      </c>
      <c r="B173" s="64" t="s">
        <v>315</v>
      </c>
      <c r="C173" s="105"/>
      <c r="D173" s="106" t="s">
        <v>316</v>
      </c>
      <c r="E173" s="105" t="s">
        <v>77</v>
      </c>
      <c r="F173" s="1258" t="s">
        <v>45</v>
      </c>
      <c r="G173" s="330">
        <f t="shared" si="4"/>
        <v>86.67120000000003</v>
      </c>
      <c r="H173" s="23" t="s">
        <v>3</v>
      </c>
      <c r="I173" s="1131">
        <f t="shared" si="5"/>
        <v>0.8667120000000003</v>
      </c>
      <c r="J173" s="2090"/>
      <c r="K173" s="658"/>
      <c r="L173" s="628"/>
      <c r="M173" s="629"/>
      <c r="N173" s="658"/>
      <c r="O173" s="628"/>
      <c r="P173" s="629"/>
      <c r="Q173" s="630"/>
      <c r="R173" s="628"/>
      <c r="S173" s="1133"/>
      <c r="T173" s="702">
        <v>67</v>
      </c>
      <c r="U173" s="702">
        <v>65</v>
      </c>
      <c r="V173" s="702">
        <v>63</v>
      </c>
      <c r="W173" s="702">
        <v>61</v>
      </c>
      <c r="X173" s="702">
        <v>58</v>
      </c>
    </row>
    <row r="174" spans="1:24" s="702" customFormat="1" ht="41.25" customHeight="1">
      <c r="A174" s="1259" t="s">
        <v>1092</v>
      </c>
      <c r="B174" s="1260" t="s">
        <v>315</v>
      </c>
      <c r="C174" s="1261"/>
      <c r="D174" s="658" t="s">
        <v>1093</v>
      </c>
      <c r="E174" s="1261" t="s">
        <v>77</v>
      </c>
      <c r="F174" s="658" t="s">
        <v>45</v>
      </c>
      <c r="G174" s="330">
        <f t="shared" si="4"/>
        <v>107.36880000000004</v>
      </c>
      <c r="H174" s="23" t="s">
        <v>3</v>
      </c>
      <c r="I174" s="1131">
        <f t="shared" si="5"/>
        <v>1.0736880000000004</v>
      </c>
      <c r="J174" s="2090"/>
      <c r="K174" s="658"/>
      <c r="L174" s="628"/>
      <c r="M174" s="629"/>
      <c r="N174" s="658"/>
      <c r="O174" s="628"/>
      <c r="P174" s="629"/>
      <c r="Q174" s="630"/>
      <c r="R174" s="628"/>
      <c r="S174" s="1133"/>
      <c r="T174" s="702">
        <v>83</v>
      </c>
      <c r="U174" s="702">
        <v>80</v>
      </c>
      <c r="V174" s="702">
        <v>77</v>
      </c>
      <c r="W174" s="702">
        <v>75</v>
      </c>
      <c r="X174" s="702">
        <v>72</v>
      </c>
    </row>
    <row r="175" spans="1:23" s="702" customFormat="1" ht="41.25" customHeight="1">
      <c r="A175" s="104" t="s">
        <v>317</v>
      </c>
      <c r="B175" s="64" t="s">
        <v>315</v>
      </c>
      <c r="C175" s="105"/>
      <c r="D175" s="106" t="s">
        <v>318</v>
      </c>
      <c r="E175" s="105" t="s">
        <v>77</v>
      </c>
      <c r="F175" s="106" t="s">
        <v>45</v>
      </c>
      <c r="G175" s="330">
        <f t="shared" si="4"/>
        <v>591.1752</v>
      </c>
      <c r="H175" s="23" t="s">
        <v>3</v>
      </c>
      <c r="I175" s="1131">
        <f t="shared" si="5"/>
        <v>5.911752</v>
      </c>
      <c r="J175" s="2090"/>
      <c r="K175" s="658"/>
      <c r="L175" s="628"/>
      <c r="M175" s="629"/>
      <c r="N175" s="658"/>
      <c r="O175" s="628"/>
      <c r="P175" s="629"/>
      <c r="Q175" s="630"/>
      <c r="R175" s="628"/>
      <c r="S175" s="118"/>
      <c r="T175" s="702">
        <v>457</v>
      </c>
      <c r="U175" s="702">
        <v>442</v>
      </c>
      <c r="V175" s="702">
        <v>427</v>
      </c>
      <c r="W175" s="702">
        <v>411</v>
      </c>
    </row>
    <row r="176" spans="1:23" ht="41.25" customHeight="1" thickBot="1">
      <c r="A176" s="688" t="s">
        <v>317</v>
      </c>
      <c r="B176" s="505" t="s">
        <v>315</v>
      </c>
      <c r="C176" s="278"/>
      <c r="D176" s="699" t="s">
        <v>318</v>
      </c>
      <c r="E176" s="278" t="s">
        <v>76</v>
      </c>
      <c r="F176" s="699" t="s">
        <v>45</v>
      </c>
      <c r="G176" s="327">
        <f t="shared" si="4"/>
        <v>375.14400000000006</v>
      </c>
      <c r="H176" s="72" t="s">
        <v>3</v>
      </c>
      <c r="I176" s="1129">
        <f t="shared" si="5"/>
        <v>3.7514400000000006</v>
      </c>
      <c r="J176" s="2090"/>
      <c r="K176" s="658"/>
      <c r="L176" s="628"/>
      <c r="M176" s="629"/>
      <c r="N176" s="658"/>
      <c r="O176" s="628"/>
      <c r="P176" s="629"/>
      <c r="Q176" s="630"/>
      <c r="R176" s="628"/>
      <c r="S176" s="118"/>
      <c r="T176" s="37">
        <v>290</v>
      </c>
      <c r="U176" s="37">
        <v>280</v>
      </c>
      <c r="V176" s="37">
        <v>270</v>
      </c>
      <c r="W176" s="37">
        <v>261</v>
      </c>
    </row>
    <row r="177" spans="1:19" ht="41.25" customHeight="1">
      <c r="A177" s="96" t="s">
        <v>319</v>
      </c>
      <c r="B177" s="63" t="s">
        <v>320</v>
      </c>
      <c r="C177" s="97"/>
      <c r="D177" s="102">
        <v>295</v>
      </c>
      <c r="E177" s="97" t="s">
        <v>321</v>
      </c>
      <c r="F177" s="283" t="s">
        <v>761</v>
      </c>
      <c r="G177" s="324">
        <f>78*1.12*1.05*1.1</f>
        <v>100.90080000000003</v>
      </c>
      <c r="H177" s="22" t="s">
        <v>3</v>
      </c>
      <c r="I177" s="1130">
        <f>G177/5</f>
        <v>20.180160000000008</v>
      </c>
      <c r="J177" s="2090"/>
      <c r="K177" s="658"/>
      <c r="L177" s="628"/>
      <c r="M177" s="629"/>
      <c r="N177" s="658"/>
      <c r="O177" s="628"/>
      <c r="P177" s="629"/>
      <c r="Q177" s="630"/>
      <c r="R177" s="628"/>
      <c r="S177" s="118"/>
    </row>
    <row r="178" spans="1:19" ht="41.25" customHeight="1" thickBot="1">
      <c r="A178" s="688" t="s">
        <v>762</v>
      </c>
      <c r="B178" s="791" t="s">
        <v>320</v>
      </c>
      <c r="C178" s="278"/>
      <c r="D178" s="699">
        <v>295</v>
      </c>
      <c r="E178" s="278" t="s">
        <v>321</v>
      </c>
      <c r="F178" s="834" t="s">
        <v>322</v>
      </c>
      <c r="G178" s="327">
        <f>78*1.12*1.05*1.1</f>
        <v>100.90080000000003</v>
      </c>
      <c r="H178" s="72" t="s">
        <v>3</v>
      </c>
      <c r="I178" s="1129">
        <f>G178/6</f>
        <v>16.816800000000004</v>
      </c>
      <c r="J178" s="2090"/>
      <c r="K178" s="658"/>
      <c r="L178" s="628"/>
      <c r="M178" s="629"/>
      <c r="N178" s="658"/>
      <c r="O178" s="628"/>
      <c r="P178" s="629"/>
      <c r="Q178" s="630"/>
      <c r="R178" s="628"/>
      <c r="S178" s="118"/>
    </row>
    <row r="179" spans="1:19" ht="41.25" customHeight="1" thickBot="1">
      <c r="A179" s="96" t="s">
        <v>471</v>
      </c>
      <c r="B179" s="279" t="s">
        <v>472</v>
      </c>
      <c r="C179" s="97" t="s">
        <v>473</v>
      </c>
      <c r="D179" s="102">
        <v>150</v>
      </c>
      <c r="E179" s="97" t="s">
        <v>77</v>
      </c>
      <c r="F179" s="832" t="s">
        <v>474</v>
      </c>
      <c r="G179" s="322">
        <f>109.6*1.12*1.05*1.1</f>
        <v>141.77856000000003</v>
      </c>
      <c r="H179" s="109" t="s">
        <v>3</v>
      </c>
      <c r="I179" s="548">
        <f>G179/10</f>
        <v>14.177856000000002</v>
      </c>
      <c r="J179" s="2090"/>
      <c r="K179" s="658"/>
      <c r="L179" s="628"/>
      <c r="M179" s="629"/>
      <c r="N179" s="658"/>
      <c r="O179" s="628"/>
      <c r="P179" s="629"/>
      <c r="Q179" s="630"/>
      <c r="R179" s="628"/>
      <c r="S179" s="118"/>
    </row>
    <row r="180" spans="1:19" ht="41.25" customHeight="1" thickBot="1">
      <c r="A180" s="688" t="s">
        <v>475</v>
      </c>
      <c r="B180" s="791" t="s">
        <v>476</v>
      </c>
      <c r="C180" s="278" t="s">
        <v>477</v>
      </c>
      <c r="D180" s="699">
        <v>150</v>
      </c>
      <c r="E180" s="278" t="s">
        <v>77</v>
      </c>
      <c r="F180" s="833" t="s">
        <v>474</v>
      </c>
      <c r="G180" s="322">
        <f>138*1.12*1.05*1.1</f>
        <v>178.51680000000002</v>
      </c>
      <c r="H180" s="109" t="s">
        <v>3</v>
      </c>
      <c r="I180" s="548">
        <f>G180/10</f>
        <v>17.85168</v>
      </c>
      <c r="J180" s="2090"/>
      <c r="K180" s="658"/>
      <c r="L180" s="628"/>
      <c r="M180" s="629"/>
      <c r="N180" s="658"/>
      <c r="O180" s="628"/>
      <c r="P180" s="629"/>
      <c r="Q180" s="630"/>
      <c r="R180" s="628"/>
      <c r="S180" s="118"/>
    </row>
    <row r="182" spans="1:18" s="290" customFormat="1" ht="42.75" customHeight="1" thickBot="1">
      <c r="A182" s="2170" t="s">
        <v>555</v>
      </c>
      <c r="B182" s="2170"/>
      <c r="C182" s="2170"/>
      <c r="D182" s="2170"/>
      <c r="E182" s="2170"/>
      <c r="F182" s="2170"/>
      <c r="G182" s="2170"/>
      <c r="H182" s="2170"/>
      <c r="I182" s="2170"/>
      <c r="J182" s="2169"/>
      <c r="K182" s="2169"/>
      <c r="L182" s="2169"/>
      <c r="M182" s="2169"/>
      <c r="N182" s="2169"/>
      <c r="O182" s="2169"/>
      <c r="P182" s="2169"/>
      <c r="Q182" s="2169"/>
      <c r="R182" s="2169"/>
    </row>
    <row r="183" spans="1:18" s="290" customFormat="1" ht="42.75" customHeight="1" thickBot="1">
      <c r="A183" s="497" t="s">
        <v>0</v>
      </c>
      <c r="B183" s="498" t="s">
        <v>1</v>
      </c>
      <c r="C183" s="497" t="s">
        <v>556</v>
      </c>
      <c r="D183" s="498" t="s">
        <v>557</v>
      </c>
      <c r="E183" s="497" t="s">
        <v>75</v>
      </c>
      <c r="F183" s="499" t="s">
        <v>57</v>
      </c>
      <c r="G183" s="494" t="s">
        <v>2</v>
      </c>
      <c r="H183" s="495" t="s">
        <v>3</v>
      </c>
      <c r="I183" s="2115" t="s">
        <v>4</v>
      </c>
      <c r="J183" s="2120"/>
      <c r="K183" s="2110"/>
      <c r="L183" s="2111"/>
      <c r="M183" s="2117"/>
      <c r="N183" s="2110"/>
      <c r="O183" s="2111"/>
      <c r="P183" s="2117"/>
      <c r="Q183" s="2110"/>
      <c r="R183" s="2111"/>
    </row>
    <row r="184" spans="1:24" s="676" customFormat="1" ht="42.75" customHeight="1">
      <c r="A184" s="96" t="s">
        <v>558</v>
      </c>
      <c r="B184" s="279" t="s">
        <v>559</v>
      </c>
      <c r="C184" s="97">
        <v>17</v>
      </c>
      <c r="D184" s="1262" t="s">
        <v>634</v>
      </c>
      <c r="E184" s="97" t="s">
        <v>500</v>
      </c>
      <c r="F184" s="283" t="s">
        <v>497</v>
      </c>
      <c r="G184" s="324">
        <f>T184*1.12*1.05*1.165</f>
        <v>142.48416000000003</v>
      </c>
      <c r="H184" s="22" t="s">
        <v>3</v>
      </c>
      <c r="I184" s="1130">
        <f>G184/32</f>
        <v>4.452630000000001</v>
      </c>
      <c r="J184" s="2090"/>
      <c r="K184" s="658"/>
      <c r="L184" s="628"/>
      <c r="M184" s="629"/>
      <c r="N184" s="658"/>
      <c r="O184" s="628"/>
      <c r="P184" s="629"/>
      <c r="Q184" s="630"/>
      <c r="R184" s="628"/>
      <c r="T184" s="676">
        <v>104</v>
      </c>
      <c r="U184" s="676">
        <v>100</v>
      </c>
      <c r="V184" s="676">
        <v>97</v>
      </c>
      <c r="W184" s="676">
        <v>93</v>
      </c>
      <c r="X184" s="676">
        <v>90</v>
      </c>
    </row>
    <row r="185" spans="1:18" s="290" customFormat="1" ht="42.75" customHeight="1" thickBot="1">
      <c r="A185" s="99" t="s">
        <v>563</v>
      </c>
      <c r="B185" s="686" t="s">
        <v>559</v>
      </c>
      <c r="C185" s="100">
        <v>17</v>
      </c>
      <c r="D185" s="475" t="s">
        <v>649</v>
      </c>
      <c r="E185" s="100" t="s">
        <v>500</v>
      </c>
      <c r="F185" s="452" t="s">
        <v>58</v>
      </c>
      <c r="G185" s="327">
        <f>3549.6*1.12*1.05*1.165</f>
        <v>4863.093984</v>
      </c>
      <c r="H185" s="72" t="s">
        <v>3</v>
      </c>
      <c r="I185" s="2116">
        <f>G185/1600</f>
        <v>3.03943374</v>
      </c>
      <c r="J185" s="2090"/>
      <c r="K185" s="658"/>
      <c r="L185" s="2118"/>
      <c r="M185" s="629"/>
      <c r="N185" s="658"/>
      <c r="O185" s="2118"/>
      <c r="P185" s="629"/>
      <c r="Q185" s="630"/>
      <c r="R185" s="2118"/>
    </row>
    <row r="186" spans="1:24" s="676" customFormat="1" ht="42.75" customHeight="1">
      <c r="A186" s="96" t="s">
        <v>560</v>
      </c>
      <c r="B186" s="279" t="s">
        <v>561</v>
      </c>
      <c r="C186" s="97">
        <v>30</v>
      </c>
      <c r="D186" s="1262" t="s">
        <v>634</v>
      </c>
      <c r="E186" s="97" t="s">
        <v>500</v>
      </c>
      <c r="F186" s="283" t="s">
        <v>497</v>
      </c>
      <c r="G186" s="324">
        <f>T186*1.12*1.05*1.165</f>
        <v>220.57644000000005</v>
      </c>
      <c r="H186" s="22" t="s">
        <v>3</v>
      </c>
      <c r="I186" s="1130">
        <f>G186/32</f>
        <v>6.8930137500000015</v>
      </c>
      <c r="J186" s="2090"/>
      <c r="K186" s="658"/>
      <c r="L186" s="628"/>
      <c r="M186" s="629"/>
      <c r="N186" s="658"/>
      <c r="O186" s="628"/>
      <c r="P186" s="629"/>
      <c r="Q186" s="630"/>
      <c r="R186" s="628"/>
      <c r="T186" s="676">
        <v>161</v>
      </c>
      <c r="U186" s="676">
        <v>156</v>
      </c>
      <c r="V186" s="676">
        <v>150</v>
      </c>
      <c r="W186" s="676">
        <v>145</v>
      </c>
      <c r="X186" s="676">
        <v>140</v>
      </c>
    </row>
    <row r="187" spans="1:18" s="290" customFormat="1" ht="42.75" customHeight="1" thickBot="1">
      <c r="A187" s="99" t="s">
        <v>564</v>
      </c>
      <c r="B187" s="686" t="s">
        <v>561</v>
      </c>
      <c r="C187" s="100">
        <v>30</v>
      </c>
      <c r="D187" s="475" t="s">
        <v>650</v>
      </c>
      <c r="E187" s="100" t="s">
        <v>500</v>
      </c>
      <c r="F187" s="452" t="s">
        <v>58</v>
      </c>
      <c r="G187" s="327">
        <f>3758.4*1.12*1.05*1.165</f>
        <v>5149.158336</v>
      </c>
      <c r="H187" s="72" t="s">
        <v>3</v>
      </c>
      <c r="I187" s="2116">
        <f>G187/960</f>
        <v>5.3637066</v>
      </c>
      <c r="J187" s="2090"/>
      <c r="K187" s="658"/>
      <c r="L187" s="2118"/>
      <c r="M187" s="629"/>
      <c r="N187" s="658"/>
      <c r="O187" s="2118"/>
      <c r="P187" s="629"/>
      <c r="Q187" s="630"/>
      <c r="R187" s="2118"/>
    </row>
    <row r="188" spans="1:24" s="676" customFormat="1" ht="42.75" customHeight="1">
      <c r="A188" s="96" t="s">
        <v>585</v>
      </c>
      <c r="B188" s="279" t="s">
        <v>562</v>
      </c>
      <c r="C188" s="97">
        <v>42</v>
      </c>
      <c r="D188" s="1262" t="s">
        <v>634</v>
      </c>
      <c r="E188" s="97" t="s">
        <v>500</v>
      </c>
      <c r="F188" s="283" t="s">
        <v>497</v>
      </c>
      <c r="G188" s="324">
        <f aca="true" t="shared" si="6" ref="G188:G195">T188*1.12*1.05*1.165</f>
        <v>293.18856000000005</v>
      </c>
      <c r="H188" s="22" t="s">
        <v>3</v>
      </c>
      <c r="I188" s="1130">
        <f>G188/32</f>
        <v>9.162142500000002</v>
      </c>
      <c r="J188" s="2090"/>
      <c r="K188" s="658"/>
      <c r="L188" s="628"/>
      <c r="M188" s="629"/>
      <c r="N188" s="658"/>
      <c r="O188" s="628"/>
      <c r="P188" s="629"/>
      <c r="Q188" s="630"/>
      <c r="R188" s="628"/>
      <c r="T188" s="676">
        <v>214</v>
      </c>
      <c r="U188" s="676">
        <v>207</v>
      </c>
      <c r="V188" s="676">
        <v>199</v>
      </c>
      <c r="W188" s="676">
        <v>192</v>
      </c>
      <c r="X188" s="676">
        <v>186</v>
      </c>
    </row>
    <row r="189" spans="1:24" s="676" customFormat="1" ht="32.25" customHeight="1" thickBot="1">
      <c r="A189" s="688" t="s">
        <v>876</v>
      </c>
      <c r="B189" s="791" t="s">
        <v>562</v>
      </c>
      <c r="C189" s="278">
        <v>42</v>
      </c>
      <c r="D189" s="699" t="s">
        <v>877</v>
      </c>
      <c r="E189" s="278" t="s">
        <v>500</v>
      </c>
      <c r="F189" s="792" t="s">
        <v>58</v>
      </c>
      <c r="G189" s="1254">
        <f t="shared" si="6"/>
        <v>4973.2452</v>
      </c>
      <c r="H189" s="24" t="s">
        <v>3</v>
      </c>
      <c r="I189" s="2065">
        <f>G189/640</f>
        <v>7.770695625</v>
      </c>
      <c r="J189" s="2090"/>
      <c r="K189" s="658"/>
      <c r="L189" s="628"/>
      <c r="M189" s="629"/>
      <c r="N189" s="658"/>
      <c r="O189" s="628"/>
      <c r="P189" s="629"/>
      <c r="Q189" s="630"/>
      <c r="R189" s="628"/>
      <c r="S189" s="290"/>
      <c r="T189" s="676">
        <v>3630</v>
      </c>
      <c r="U189" s="676">
        <v>3533</v>
      </c>
      <c r="V189" s="676">
        <v>3267</v>
      </c>
      <c r="W189" s="676">
        <v>3194</v>
      </c>
      <c r="X189" s="676">
        <v>3098</v>
      </c>
    </row>
    <row r="190" spans="1:24" s="676" customFormat="1" ht="42.75" customHeight="1">
      <c r="A190" s="96" t="s">
        <v>495</v>
      </c>
      <c r="B190" s="279" t="s">
        <v>496</v>
      </c>
      <c r="C190" s="97">
        <v>60</v>
      </c>
      <c r="D190" s="1262" t="s">
        <v>635</v>
      </c>
      <c r="E190" s="97" t="s">
        <v>160</v>
      </c>
      <c r="F190" s="283" t="s">
        <v>497</v>
      </c>
      <c r="G190" s="660">
        <f t="shared" si="6"/>
        <v>220.57644000000005</v>
      </c>
      <c r="H190" s="661" t="s">
        <v>3</v>
      </c>
      <c r="I190" s="2062">
        <f>G190/16</f>
        <v>13.786027500000003</v>
      </c>
      <c r="J190" s="2090"/>
      <c r="K190" s="658"/>
      <c r="L190" s="628"/>
      <c r="M190" s="629"/>
      <c r="N190" s="658"/>
      <c r="O190" s="628"/>
      <c r="P190" s="629"/>
      <c r="Q190" s="630"/>
      <c r="R190" s="628"/>
      <c r="T190" s="676">
        <v>161</v>
      </c>
      <c r="U190" s="676">
        <v>156</v>
      </c>
      <c r="V190" s="676">
        <v>150</v>
      </c>
      <c r="W190" s="676">
        <v>145</v>
      </c>
      <c r="X190" s="676">
        <v>140</v>
      </c>
    </row>
    <row r="191" spans="1:24" s="676" customFormat="1" ht="30.75" customHeight="1">
      <c r="A191" s="104" t="s">
        <v>878</v>
      </c>
      <c r="B191" s="697" t="s">
        <v>496</v>
      </c>
      <c r="C191" s="105">
        <v>60</v>
      </c>
      <c r="D191" s="106" t="s">
        <v>634</v>
      </c>
      <c r="E191" s="105" t="s">
        <v>500</v>
      </c>
      <c r="F191" s="106" t="s">
        <v>497</v>
      </c>
      <c r="G191" s="330">
        <f t="shared" si="6"/>
        <v>402.79176000000007</v>
      </c>
      <c r="H191" s="23" t="s">
        <v>3</v>
      </c>
      <c r="I191" s="1131">
        <f>G191/32</f>
        <v>12.587242500000002</v>
      </c>
      <c r="J191" s="2090"/>
      <c r="K191" s="658"/>
      <c r="L191" s="628"/>
      <c r="M191" s="629"/>
      <c r="N191" s="658"/>
      <c r="O191" s="628"/>
      <c r="P191" s="629"/>
      <c r="Q191" s="630"/>
      <c r="R191" s="628"/>
      <c r="T191" s="676">
        <v>294</v>
      </c>
      <c r="U191" s="676">
        <v>284</v>
      </c>
      <c r="V191" s="676">
        <v>274</v>
      </c>
      <c r="W191" s="676">
        <v>264</v>
      </c>
      <c r="X191" s="676">
        <v>256</v>
      </c>
    </row>
    <row r="192" spans="1:24" s="676" customFormat="1" ht="30.75" customHeight="1">
      <c r="A192" s="1259" t="s">
        <v>879</v>
      </c>
      <c r="B192" s="1263" t="s">
        <v>496</v>
      </c>
      <c r="C192" s="1261">
        <v>60</v>
      </c>
      <c r="D192" s="658" t="s">
        <v>880</v>
      </c>
      <c r="E192" s="1261" t="s">
        <v>500</v>
      </c>
      <c r="F192" s="1264" t="s">
        <v>58</v>
      </c>
      <c r="G192" s="1254">
        <f t="shared" si="6"/>
        <v>5721.287040000002</v>
      </c>
      <c r="H192" s="24" t="s">
        <v>3</v>
      </c>
      <c r="I192" s="2065">
        <f>G192/480</f>
        <v>11.919348000000005</v>
      </c>
      <c r="J192" s="2090"/>
      <c r="K192" s="658"/>
      <c r="L192" s="628"/>
      <c r="M192" s="629"/>
      <c r="N192" s="658"/>
      <c r="O192" s="628"/>
      <c r="P192" s="629"/>
      <c r="Q192" s="630"/>
      <c r="R192" s="628"/>
      <c r="T192" s="676">
        <v>4176</v>
      </c>
      <c r="U192" s="676">
        <v>4032</v>
      </c>
      <c r="V192" s="676">
        <v>3888</v>
      </c>
      <c r="W192" s="676">
        <v>3744</v>
      </c>
      <c r="X192" s="676">
        <v>3629</v>
      </c>
    </row>
    <row r="193" spans="1:24" s="676" customFormat="1" ht="30.75" customHeight="1" thickBot="1">
      <c r="A193" s="99" t="s">
        <v>881</v>
      </c>
      <c r="B193" s="686" t="s">
        <v>496</v>
      </c>
      <c r="C193" s="100">
        <v>60</v>
      </c>
      <c r="D193" s="101" t="s">
        <v>882</v>
      </c>
      <c r="E193" s="100" t="s">
        <v>160</v>
      </c>
      <c r="F193" s="793" t="s">
        <v>58</v>
      </c>
      <c r="G193" s="327">
        <f t="shared" si="6"/>
        <v>5322.605400000001</v>
      </c>
      <c r="H193" s="72" t="s">
        <v>3</v>
      </c>
      <c r="I193" s="1129">
        <f>G193/480</f>
        <v>11.088761250000003</v>
      </c>
      <c r="J193" s="2090"/>
      <c r="K193" s="658"/>
      <c r="L193" s="628"/>
      <c r="M193" s="629"/>
      <c r="N193" s="658"/>
      <c r="O193" s="628"/>
      <c r="P193" s="629"/>
      <c r="Q193" s="630"/>
      <c r="R193" s="628"/>
      <c r="S193" s="290"/>
      <c r="T193" s="676">
        <v>3885</v>
      </c>
      <c r="U193" s="676">
        <v>3781</v>
      </c>
      <c r="V193" s="676">
        <v>3497</v>
      </c>
      <c r="W193" s="676">
        <v>3419</v>
      </c>
      <c r="X193" s="676">
        <v>3315</v>
      </c>
    </row>
    <row r="194" spans="1:24" s="676" customFormat="1" ht="42.75" customHeight="1" thickBot="1">
      <c r="A194" s="99" t="s">
        <v>498</v>
      </c>
      <c r="B194" s="1265" t="s">
        <v>499</v>
      </c>
      <c r="C194" s="100">
        <v>80</v>
      </c>
      <c r="D194" s="475" t="s">
        <v>635</v>
      </c>
      <c r="E194" s="100" t="s">
        <v>500</v>
      </c>
      <c r="F194" s="336" t="s">
        <v>497</v>
      </c>
      <c r="G194" s="324">
        <f t="shared" si="6"/>
        <v>282.22824</v>
      </c>
      <c r="H194" s="72" t="s">
        <v>3</v>
      </c>
      <c r="I194" s="1129">
        <f>G194/16</f>
        <v>17.639265</v>
      </c>
      <c r="J194" s="2090"/>
      <c r="K194" s="658"/>
      <c r="L194" s="628"/>
      <c r="M194" s="629"/>
      <c r="N194" s="658"/>
      <c r="O194" s="628"/>
      <c r="P194" s="629"/>
      <c r="Q194" s="630"/>
      <c r="R194" s="628"/>
      <c r="T194" s="676">
        <v>206</v>
      </c>
      <c r="U194" s="676">
        <v>199</v>
      </c>
      <c r="V194" s="676">
        <v>192</v>
      </c>
      <c r="W194" s="676">
        <v>185</v>
      </c>
      <c r="X194" s="676">
        <v>179</v>
      </c>
    </row>
    <row r="195" spans="1:24" s="676" customFormat="1" ht="42.75" customHeight="1" thickBot="1">
      <c r="A195" s="130" t="s">
        <v>501</v>
      </c>
      <c r="B195" s="1266" t="s">
        <v>499</v>
      </c>
      <c r="C195" s="131">
        <v>80</v>
      </c>
      <c r="D195" s="1267" t="s">
        <v>143</v>
      </c>
      <c r="E195" s="131" t="s">
        <v>500</v>
      </c>
      <c r="F195" s="1268" t="s">
        <v>497</v>
      </c>
      <c r="G195" s="322">
        <f t="shared" si="6"/>
        <v>160.29468000000006</v>
      </c>
      <c r="H195" s="109" t="s">
        <v>3</v>
      </c>
      <c r="I195" s="548">
        <f>G195/8</f>
        <v>20.036835000000007</v>
      </c>
      <c r="J195" s="2090"/>
      <c r="K195" s="658"/>
      <c r="L195" s="628"/>
      <c r="M195" s="629"/>
      <c r="N195" s="658"/>
      <c r="O195" s="628"/>
      <c r="P195" s="629"/>
      <c r="Q195" s="630"/>
      <c r="R195" s="628"/>
      <c r="T195" s="676">
        <v>117</v>
      </c>
      <c r="U195" s="676">
        <v>113</v>
      </c>
      <c r="V195" s="676">
        <v>109</v>
      </c>
      <c r="W195" s="676">
        <v>105</v>
      </c>
      <c r="X195" s="676">
        <v>102</v>
      </c>
    </row>
    <row r="196" spans="1:18" s="556" customFormat="1" ht="19.5" customHeight="1" thickBot="1">
      <c r="A196" s="553"/>
      <c r="B196" s="554"/>
      <c r="C196" s="555"/>
      <c r="D196" s="555"/>
      <c r="E196" s="555"/>
      <c r="F196" s="555"/>
      <c r="G196" s="480" t="s">
        <v>11</v>
      </c>
      <c r="H196" s="15"/>
      <c r="I196" s="11"/>
      <c r="J196" s="2089"/>
      <c r="K196" s="15"/>
      <c r="L196" s="11"/>
      <c r="M196" s="480"/>
      <c r="N196" s="15"/>
      <c r="O196" s="11"/>
      <c r="P196" s="480"/>
      <c r="Q196" s="15"/>
      <c r="R196" s="11"/>
    </row>
    <row r="197" spans="1:24" s="676" customFormat="1" ht="36.75" customHeight="1">
      <c r="A197" s="1269"/>
      <c r="B197" s="1270" t="s">
        <v>708</v>
      </c>
      <c r="C197" s="59">
        <v>80</v>
      </c>
      <c r="D197" s="59" t="s">
        <v>709</v>
      </c>
      <c r="E197" s="59" t="s">
        <v>138</v>
      </c>
      <c r="F197" s="59" t="s">
        <v>710</v>
      </c>
      <c r="G197" s="660">
        <f aca="true" t="shared" si="7" ref="G197:G202">T197*1.12*1.05*1.165</f>
        <v>120.56352000000003</v>
      </c>
      <c r="H197" s="661"/>
      <c r="I197" s="2062"/>
      <c r="J197" s="2090"/>
      <c r="K197" s="658"/>
      <c r="L197" s="628"/>
      <c r="M197" s="629"/>
      <c r="N197" s="658"/>
      <c r="O197" s="628"/>
      <c r="P197" s="629"/>
      <c r="Q197" s="630"/>
      <c r="R197" s="628"/>
      <c r="T197" s="676">
        <v>88</v>
      </c>
      <c r="U197" s="676">
        <v>85</v>
      </c>
      <c r="V197" s="676">
        <v>82</v>
      </c>
      <c r="W197" s="676">
        <v>79</v>
      </c>
      <c r="X197" s="676">
        <v>76</v>
      </c>
    </row>
    <row r="198" spans="1:24" s="676" customFormat="1" ht="36.75" customHeight="1">
      <c r="A198" s="1271"/>
      <c r="B198" s="1272" t="s">
        <v>708</v>
      </c>
      <c r="C198" s="56">
        <v>80</v>
      </c>
      <c r="D198" s="56" t="s">
        <v>711</v>
      </c>
      <c r="E198" s="56" t="s">
        <v>138</v>
      </c>
      <c r="F198" s="56" t="s">
        <v>712</v>
      </c>
      <c r="G198" s="330">
        <f t="shared" si="7"/>
        <v>171.255</v>
      </c>
      <c r="H198" s="23"/>
      <c r="I198" s="1131"/>
      <c r="J198" s="2090"/>
      <c r="K198" s="658"/>
      <c r="L198" s="628"/>
      <c r="M198" s="629"/>
      <c r="N198" s="658"/>
      <c r="O198" s="628"/>
      <c r="P198" s="629"/>
      <c r="Q198" s="630"/>
      <c r="R198" s="628"/>
      <c r="T198" s="676">
        <v>125</v>
      </c>
      <c r="U198" s="676">
        <v>120</v>
      </c>
      <c r="V198" s="676">
        <v>116</v>
      </c>
      <c r="W198" s="676">
        <v>112</v>
      </c>
      <c r="X198" s="676">
        <v>107</v>
      </c>
    </row>
    <row r="199" spans="1:24" s="676" customFormat="1" ht="36.75" customHeight="1" thickBot="1">
      <c r="A199" s="1273"/>
      <c r="B199" s="1274" t="s">
        <v>708</v>
      </c>
      <c r="C199" s="52">
        <v>80</v>
      </c>
      <c r="D199" s="52" t="s">
        <v>713</v>
      </c>
      <c r="E199" s="52" t="s">
        <v>138</v>
      </c>
      <c r="F199" s="52" t="s">
        <v>714</v>
      </c>
      <c r="G199" s="1254">
        <f t="shared" si="7"/>
        <v>197.28576000000007</v>
      </c>
      <c r="H199" s="72"/>
      <c r="I199" s="1129"/>
      <c r="J199" s="2090"/>
      <c r="K199" s="658"/>
      <c r="L199" s="628"/>
      <c r="M199" s="629"/>
      <c r="N199" s="658"/>
      <c r="O199" s="628"/>
      <c r="P199" s="629"/>
      <c r="Q199" s="630"/>
      <c r="R199" s="628"/>
      <c r="T199" s="676">
        <v>144</v>
      </c>
      <c r="U199" s="676">
        <v>138</v>
      </c>
      <c r="V199" s="676">
        <v>134</v>
      </c>
      <c r="W199" s="676">
        <v>129</v>
      </c>
      <c r="X199" s="676">
        <v>124</v>
      </c>
    </row>
    <row r="200" spans="1:24" s="676" customFormat="1" ht="36.75" customHeight="1">
      <c r="A200" s="1275"/>
      <c r="B200" s="1276" t="s">
        <v>715</v>
      </c>
      <c r="C200" s="267">
        <v>80</v>
      </c>
      <c r="D200" s="267" t="s">
        <v>716</v>
      </c>
      <c r="E200" s="267" t="s">
        <v>138</v>
      </c>
      <c r="F200" s="267" t="s">
        <v>717</v>
      </c>
      <c r="G200" s="660">
        <f t="shared" si="7"/>
        <v>131.52384000000004</v>
      </c>
      <c r="H200" s="22"/>
      <c r="I200" s="1130"/>
      <c r="J200" s="2090"/>
      <c r="K200" s="658"/>
      <c r="L200" s="628"/>
      <c r="M200" s="629"/>
      <c r="N200" s="658"/>
      <c r="O200" s="628"/>
      <c r="P200" s="629"/>
      <c r="Q200" s="630"/>
      <c r="R200" s="628"/>
      <c r="T200" s="676">
        <v>96</v>
      </c>
      <c r="U200" s="676">
        <v>92</v>
      </c>
      <c r="V200" s="676">
        <v>89</v>
      </c>
      <c r="W200" s="676">
        <v>86</v>
      </c>
      <c r="X200" s="676">
        <v>83</v>
      </c>
    </row>
    <row r="201" spans="1:24" s="676" customFormat="1" ht="36.75" customHeight="1">
      <c r="A201" s="1271"/>
      <c r="B201" s="1272" t="s">
        <v>715</v>
      </c>
      <c r="C201" s="56">
        <v>80</v>
      </c>
      <c r="D201" s="56" t="s">
        <v>718</v>
      </c>
      <c r="E201" s="56" t="s">
        <v>138</v>
      </c>
      <c r="F201" s="56" t="s">
        <v>719</v>
      </c>
      <c r="G201" s="330">
        <f t="shared" si="7"/>
        <v>153.44448000000003</v>
      </c>
      <c r="H201" s="23"/>
      <c r="I201" s="1131"/>
      <c r="J201" s="2090"/>
      <c r="K201" s="658"/>
      <c r="L201" s="628"/>
      <c r="M201" s="629"/>
      <c r="N201" s="658"/>
      <c r="O201" s="628"/>
      <c r="P201" s="629"/>
      <c r="Q201" s="630"/>
      <c r="R201" s="628"/>
      <c r="T201" s="676">
        <v>112</v>
      </c>
      <c r="U201" s="676">
        <v>108</v>
      </c>
      <c r="V201" s="676">
        <v>104</v>
      </c>
      <c r="W201" s="676">
        <v>100</v>
      </c>
      <c r="X201" s="676">
        <v>96</v>
      </c>
    </row>
    <row r="202" spans="1:24" s="676" customFormat="1" ht="36.75" customHeight="1" thickBot="1">
      <c r="A202" s="1273"/>
      <c r="B202" s="1274" t="s">
        <v>715</v>
      </c>
      <c r="C202" s="52">
        <v>80</v>
      </c>
      <c r="D202" s="52" t="s">
        <v>720</v>
      </c>
      <c r="E202" s="52" t="s">
        <v>138</v>
      </c>
      <c r="F202" s="52" t="s">
        <v>714</v>
      </c>
      <c r="G202" s="327">
        <f t="shared" si="7"/>
        <v>200.02584000000004</v>
      </c>
      <c r="H202" s="72"/>
      <c r="I202" s="1129"/>
      <c r="J202" s="2090"/>
      <c r="K202" s="658"/>
      <c r="L202" s="628"/>
      <c r="M202" s="629"/>
      <c r="N202" s="658"/>
      <c r="O202" s="628"/>
      <c r="P202" s="629"/>
      <c r="Q202" s="630"/>
      <c r="R202" s="628"/>
      <c r="T202" s="676">
        <v>146</v>
      </c>
      <c r="U202" s="676">
        <v>140</v>
      </c>
      <c r="V202" s="676">
        <v>135</v>
      </c>
      <c r="W202" s="676">
        <v>130</v>
      </c>
      <c r="X202" s="676">
        <v>125</v>
      </c>
    </row>
    <row r="203" spans="10:18" ht="12.75">
      <c r="J203" s="2121"/>
      <c r="K203" s="2119"/>
      <c r="L203" s="2119"/>
      <c r="M203" s="2119"/>
      <c r="N203" s="2119"/>
      <c r="O203" s="2119"/>
      <c r="P203" s="2119"/>
      <c r="Q203" s="2119"/>
      <c r="R203" s="2119"/>
    </row>
    <row r="204" spans="1:18" s="127" customFormat="1" ht="27" thickBot="1">
      <c r="A204" s="1626" t="s">
        <v>629</v>
      </c>
      <c r="B204" s="1626"/>
      <c r="C204" s="1626"/>
      <c r="D204" s="1626"/>
      <c r="E204" s="1626"/>
      <c r="F204" s="1626"/>
      <c r="G204" s="1626"/>
      <c r="H204" s="1626"/>
      <c r="I204" s="1626"/>
      <c r="J204" s="2168"/>
      <c r="K204" s="2168"/>
      <c r="L204" s="2168"/>
      <c r="M204" s="2168"/>
      <c r="N204" s="2168"/>
      <c r="O204" s="2168"/>
      <c r="P204" s="2168"/>
      <c r="Q204" s="2168"/>
      <c r="R204" s="2168"/>
    </row>
    <row r="205" spans="1:18" s="127" customFormat="1" ht="21" thickBot="1">
      <c r="A205" s="1620" t="s">
        <v>0</v>
      </c>
      <c r="B205" s="1620" t="s">
        <v>1</v>
      </c>
      <c r="C205" s="1622" t="s">
        <v>630</v>
      </c>
      <c r="D205" s="1622" t="s">
        <v>631</v>
      </c>
      <c r="E205" s="1622" t="s">
        <v>632</v>
      </c>
      <c r="F205" s="1603" t="s">
        <v>57</v>
      </c>
      <c r="G205" s="1631" t="s">
        <v>1240</v>
      </c>
      <c r="H205" s="1632"/>
      <c r="I205" s="2122"/>
      <c r="J205" s="2134"/>
      <c r="K205" s="2131"/>
      <c r="L205" s="2131"/>
      <c r="M205" s="2131"/>
      <c r="N205" s="2131"/>
      <c r="O205" s="2131"/>
      <c r="P205" s="2131"/>
      <c r="Q205" s="2131"/>
      <c r="R205" s="2131"/>
    </row>
    <row r="206" spans="1:18" s="127" customFormat="1" ht="26.25" customHeight="1" thickBot="1">
      <c r="A206" s="1621"/>
      <c r="B206" s="1621"/>
      <c r="C206" s="1623"/>
      <c r="D206" s="1623"/>
      <c r="E206" s="1623"/>
      <c r="F206" s="1604"/>
      <c r="G206" s="496" t="s">
        <v>2</v>
      </c>
      <c r="H206" s="496" t="s">
        <v>3</v>
      </c>
      <c r="I206" s="2123" t="s">
        <v>633</v>
      </c>
      <c r="J206" s="2135"/>
      <c r="K206" s="629"/>
      <c r="L206" s="2081"/>
      <c r="M206" s="2132"/>
      <c r="N206" s="629"/>
      <c r="O206" s="2081"/>
      <c r="P206" s="2132"/>
      <c r="Q206" s="629"/>
      <c r="R206" s="2081"/>
    </row>
    <row r="207" spans="1:24" s="1134" customFormat="1" ht="42" customHeight="1">
      <c r="A207" s="1277" t="s">
        <v>638</v>
      </c>
      <c r="B207" s="1278" t="s">
        <v>639</v>
      </c>
      <c r="C207" s="1627">
        <v>100</v>
      </c>
      <c r="D207" s="1633">
        <v>2</v>
      </c>
      <c r="E207" s="476">
        <v>25</v>
      </c>
      <c r="F207" s="477" t="s">
        <v>636</v>
      </c>
      <c r="G207" s="1279">
        <f>T207*1.12*1.05*1.1</f>
        <v>1244.1844800000003</v>
      </c>
      <c r="H207" s="1280" t="s">
        <v>3</v>
      </c>
      <c r="I207" s="2124">
        <f>G207/25</f>
        <v>49.767379200000015</v>
      </c>
      <c r="J207" s="2089"/>
      <c r="K207" s="15"/>
      <c r="L207" s="2125"/>
      <c r="M207" s="480"/>
      <c r="N207" s="15"/>
      <c r="O207" s="2125"/>
      <c r="P207" s="480"/>
      <c r="Q207" s="15"/>
      <c r="R207" s="2125"/>
      <c r="T207" s="1135">
        <v>961.8000000000001</v>
      </c>
      <c r="U207" s="1135">
        <v>901.6875</v>
      </c>
      <c r="V207" s="1135">
        <v>841.5749999999999</v>
      </c>
      <c r="W207" s="1135">
        <v>781.4625</v>
      </c>
      <c r="X207" s="1136">
        <v>781.4625</v>
      </c>
    </row>
    <row r="208" spans="1:24" s="1134" customFormat="1" ht="42" customHeight="1" thickBot="1">
      <c r="A208" s="1282" t="s">
        <v>640</v>
      </c>
      <c r="B208" s="1283" t="s">
        <v>639</v>
      </c>
      <c r="C208" s="1628"/>
      <c r="D208" s="1634"/>
      <c r="E208" s="1284">
        <v>50</v>
      </c>
      <c r="F208" s="478" t="s">
        <v>636</v>
      </c>
      <c r="G208" s="1285">
        <f aca="true" t="shared" si="8" ref="G208:G218">T208*1.12*1.05*1.1</f>
        <v>2488.3689600000007</v>
      </c>
      <c r="H208" s="480" t="s">
        <v>3</v>
      </c>
      <c r="I208" s="2125">
        <f>G208/50</f>
        <v>49.767379200000015</v>
      </c>
      <c r="J208" s="2089"/>
      <c r="K208" s="480"/>
      <c r="L208" s="2125"/>
      <c r="M208" s="480"/>
      <c r="N208" s="480"/>
      <c r="O208" s="2125"/>
      <c r="P208" s="480"/>
      <c r="Q208" s="480"/>
      <c r="R208" s="2125"/>
      <c r="T208" s="1137">
        <v>1923.6000000000001</v>
      </c>
      <c r="U208" s="1137">
        <v>1803.375</v>
      </c>
      <c r="V208" s="1137">
        <v>1683.1499999999999</v>
      </c>
      <c r="W208" s="1137">
        <v>1562.925</v>
      </c>
      <c r="X208" s="1138">
        <v>1562.925</v>
      </c>
    </row>
    <row r="209" spans="1:24" s="1134" customFormat="1" ht="42" customHeight="1">
      <c r="A209" s="1277" t="s">
        <v>641</v>
      </c>
      <c r="B209" s="1278" t="s">
        <v>639</v>
      </c>
      <c r="C209" s="1624">
        <v>120</v>
      </c>
      <c r="D209" s="1624">
        <v>2</v>
      </c>
      <c r="E209" s="1286">
        <v>25</v>
      </c>
      <c r="F209" s="482" t="s">
        <v>636</v>
      </c>
      <c r="G209" s="1279">
        <f t="shared" si="8"/>
        <v>1390.5391500000005</v>
      </c>
      <c r="H209" s="1280" t="s">
        <v>3</v>
      </c>
      <c r="I209" s="2124">
        <f>G209/25</f>
        <v>55.62156600000002</v>
      </c>
      <c r="J209" s="2089"/>
      <c r="K209" s="15"/>
      <c r="L209" s="2125"/>
      <c r="M209" s="480"/>
      <c r="N209" s="15"/>
      <c r="O209" s="2125"/>
      <c r="P209" s="480"/>
      <c r="Q209" s="15"/>
      <c r="R209" s="2125"/>
      <c r="T209" s="1139">
        <v>1074.9375000000002</v>
      </c>
      <c r="U209" s="1139">
        <v>1017.6075000000001</v>
      </c>
      <c r="V209" s="1139">
        <v>953.1112500000002</v>
      </c>
      <c r="W209" s="1139">
        <v>917.2800000000002</v>
      </c>
      <c r="X209" s="1140">
        <v>917.2800000000002</v>
      </c>
    </row>
    <row r="210" spans="1:24" s="1134" customFormat="1" ht="42" customHeight="1">
      <c r="A210" s="1287" t="s">
        <v>642</v>
      </c>
      <c r="B210" s="1288" t="s">
        <v>639</v>
      </c>
      <c r="C210" s="1630"/>
      <c r="D210" s="1629"/>
      <c r="E210" s="1289">
        <v>50</v>
      </c>
      <c r="F210" s="482" t="s">
        <v>636</v>
      </c>
      <c r="G210" s="581">
        <f t="shared" si="8"/>
        <v>2781.078300000001</v>
      </c>
      <c r="H210" s="582" t="s">
        <v>3</v>
      </c>
      <c r="I210" s="2126">
        <f>G210/50</f>
        <v>55.62156600000002</v>
      </c>
      <c r="J210" s="2089"/>
      <c r="K210" s="480"/>
      <c r="L210" s="2125"/>
      <c r="M210" s="480"/>
      <c r="N210" s="480"/>
      <c r="O210" s="2125"/>
      <c r="P210" s="480"/>
      <c r="Q210" s="480"/>
      <c r="R210" s="2125"/>
      <c r="T210" s="1142">
        <v>2149.8750000000005</v>
      </c>
      <c r="U210" s="1142">
        <v>2035.2150000000001</v>
      </c>
      <c r="V210" s="1142">
        <v>1906.2225000000003</v>
      </c>
      <c r="W210" s="1142">
        <v>1834.5600000000004</v>
      </c>
      <c r="X210" s="1143">
        <v>1834.5600000000004</v>
      </c>
    </row>
    <row r="211" spans="1:24" s="1134" customFormat="1" ht="42" customHeight="1">
      <c r="A211" s="1287" t="s">
        <v>643</v>
      </c>
      <c r="B211" s="1290" t="s">
        <v>639</v>
      </c>
      <c r="C211" s="1630"/>
      <c r="D211" s="1635">
        <v>3</v>
      </c>
      <c r="E211" s="1291">
        <v>25</v>
      </c>
      <c r="F211" s="482" t="s">
        <v>636</v>
      </c>
      <c r="G211" s="581">
        <f t="shared" si="8"/>
        <v>2200.4136000000003</v>
      </c>
      <c r="H211" s="1292" t="s">
        <v>3</v>
      </c>
      <c r="I211" s="2127">
        <f>G211/25</f>
        <v>88.01654400000001</v>
      </c>
      <c r="J211" s="2089"/>
      <c r="K211" s="15"/>
      <c r="L211" s="2133"/>
      <c r="M211" s="480"/>
      <c r="N211" s="15"/>
      <c r="O211" s="2133"/>
      <c r="P211" s="480"/>
      <c r="Q211" s="15"/>
      <c r="R211" s="2133"/>
      <c r="T211" s="1144">
        <v>1701</v>
      </c>
      <c r="U211" s="1142">
        <v>1576.26</v>
      </c>
      <c r="V211" s="1142">
        <v>1508.22</v>
      </c>
      <c r="W211" s="1142">
        <v>1451.52</v>
      </c>
      <c r="X211" s="1143">
        <v>1451.52</v>
      </c>
    </row>
    <row r="212" spans="1:24" s="1134" customFormat="1" ht="42" customHeight="1">
      <c r="A212" s="1293" t="s">
        <v>644</v>
      </c>
      <c r="B212" s="1288" t="s">
        <v>639</v>
      </c>
      <c r="C212" s="1630"/>
      <c r="D212" s="1629"/>
      <c r="E212" s="1289">
        <v>50</v>
      </c>
      <c r="F212" s="483" t="s">
        <v>637</v>
      </c>
      <c r="G212" s="581">
        <f t="shared" si="8"/>
        <v>4248.020700000001</v>
      </c>
      <c r="H212" s="582" t="s">
        <v>3</v>
      </c>
      <c r="I212" s="2128">
        <f>G212/50</f>
        <v>84.96041400000001</v>
      </c>
      <c r="J212" s="2089"/>
      <c r="K212" s="480"/>
      <c r="L212" s="2133"/>
      <c r="M212" s="480"/>
      <c r="N212" s="480"/>
      <c r="O212" s="2133"/>
      <c r="P212" s="480"/>
      <c r="Q212" s="480"/>
      <c r="R212" s="2133"/>
      <c r="T212" s="1145">
        <v>3283.875</v>
      </c>
      <c r="U212" s="1142">
        <v>3043.0575</v>
      </c>
      <c r="V212" s="1142">
        <v>2911.7025000000003</v>
      </c>
      <c r="W212" s="1142">
        <v>2802.2400000000002</v>
      </c>
      <c r="X212" s="1143">
        <v>2802.2400000000002</v>
      </c>
    </row>
    <row r="213" spans="1:24" s="1134" customFormat="1" ht="42" customHeight="1">
      <c r="A213" s="1293" t="s">
        <v>645</v>
      </c>
      <c r="B213" s="1290" t="s">
        <v>639</v>
      </c>
      <c r="C213" s="1630"/>
      <c r="D213" s="1635">
        <v>4</v>
      </c>
      <c r="E213" s="1289">
        <v>25</v>
      </c>
      <c r="F213" s="482" t="s">
        <v>636</v>
      </c>
      <c r="G213" s="581">
        <f t="shared" si="8"/>
        <v>2933.8848000000007</v>
      </c>
      <c r="H213" s="1292" t="s">
        <v>3</v>
      </c>
      <c r="I213" s="2128">
        <f>G213/25</f>
        <v>117.35539200000002</v>
      </c>
      <c r="J213" s="2089"/>
      <c r="K213" s="15"/>
      <c r="L213" s="2133"/>
      <c r="M213" s="480"/>
      <c r="N213" s="15"/>
      <c r="O213" s="2133"/>
      <c r="P213" s="480"/>
      <c r="Q213" s="15"/>
      <c r="R213" s="2133"/>
      <c r="T213" s="1145">
        <v>2268</v>
      </c>
      <c r="U213" s="1142">
        <v>2101.68</v>
      </c>
      <c r="V213" s="1142">
        <v>2010.96</v>
      </c>
      <c r="W213" s="1142">
        <v>1935.3600000000001</v>
      </c>
      <c r="X213" s="1143">
        <v>1935.3600000000001</v>
      </c>
    </row>
    <row r="214" spans="1:24" s="1134" customFormat="1" ht="42" customHeight="1" thickBot="1">
      <c r="A214" s="1282" t="s">
        <v>646</v>
      </c>
      <c r="B214" s="1283" t="s">
        <v>639</v>
      </c>
      <c r="C214" s="1625"/>
      <c r="D214" s="1625"/>
      <c r="E214" s="1294">
        <v>50</v>
      </c>
      <c r="F214" s="1295" t="s">
        <v>637</v>
      </c>
      <c r="G214" s="1285">
        <f t="shared" si="8"/>
        <v>5867.769600000001</v>
      </c>
      <c r="H214" s="481" t="s">
        <v>3</v>
      </c>
      <c r="I214" s="2129">
        <f>G214/50</f>
        <v>117.35539200000002</v>
      </c>
      <c r="J214" s="2089"/>
      <c r="K214" s="480"/>
      <c r="L214" s="2133"/>
      <c r="M214" s="480"/>
      <c r="N214" s="480"/>
      <c r="O214" s="2133"/>
      <c r="P214" s="480"/>
      <c r="Q214" s="480"/>
      <c r="R214" s="2133"/>
      <c r="T214" s="1146">
        <v>4536</v>
      </c>
      <c r="U214" s="1147">
        <v>4203.36</v>
      </c>
      <c r="V214" s="1147">
        <v>4021.92</v>
      </c>
      <c r="W214" s="1147">
        <v>3870.7200000000003</v>
      </c>
      <c r="X214" s="1148">
        <v>3870.7200000000003</v>
      </c>
    </row>
    <row r="215" spans="1:24" s="1134" customFormat="1" ht="42" customHeight="1">
      <c r="A215" s="1277" t="s">
        <v>647</v>
      </c>
      <c r="B215" s="1278" t="s">
        <v>639</v>
      </c>
      <c r="C215" s="1624">
        <v>140</v>
      </c>
      <c r="D215" s="1624">
        <v>2</v>
      </c>
      <c r="E215" s="1296">
        <v>25</v>
      </c>
      <c r="F215" s="477" t="s">
        <v>636</v>
      </c>
      <c r="G215" s="1279">
        <f t="shared" si="8"/>
        <v>1472.2057350000002</v>
      </c>
      <c r="H215" s="1280" t="s">
        <v>3</v>
      </c>
      <c r="I215" s="2130">
        <f>G215/25</f>
        <v>58.88822940000001</v>
      </c>
      <c r="J215" s="2089"/>
      <c r="K215" s="15"/>
      <c r="L215" s="2133"/>
      <c r="M215" s="480"/>
      <c r="N215" s="15"/>
      <c r="O215" s="2133"/>
      <c r="P215" s="480"/>
      <c r="Q215" s="15"/>
      <c r="R215" s="2133"/>
      <c r="T215" s="1149">
        <v>1138.06875</v>
      </c>
      <c r="U215" s="1135">
        <v>1067.43</v>
      </c>
      <c r="V215" s="1135">
        <v>1020.3375000000001</v>
      </c>
      <c r="W215" s="1135">
        <v>996.79125</v>
      </c>
      <c r="X215" s="1136">
        <v>996.79125</v>
      </c>
    </row>
    <row r="216" spans="1:24" s="1134" customFormat="1" ht="42" customHeight="1" thickBot="1">
      <c r="A216" s="1297" t="s">
        <v>648</v>
      </c>
      <c r="B216" s="1298" t="s">
        <v>639</v>
      </c>
      <c r="C216" s="1625"/>
      <c r="D216" s="1625"/>
      <c r="E216" s="1294">
        <v>50</v>
      </c>
      <c r="F216" s="478" t="s">
        <v>636</v>
      </c>
      <c r="G216" s="1285">
        <f t="shared" si="8"/>
        <v>2944.4114700000005</v>
      </c>
      <c r="H216" s="481" t="s">
        <v>3</v>
      </c>
      <c r="I216" s="2129">
        <f>G216/50</f>
        <v>58.88822940000001</v>
      </c>
      <c r="J216" s="2089"/>
      <c r="K216" s="480"/>
      <c r="L216" s="2133"/>
      <c r="M216" s="480"/>
      <c r="N216" s="480"/>
      <c r="O216" s="2133"/>
      <c r="P216" s="480"/>
      <c r="Q216" s="480"/>
      <c r="R216" s="2133"/>
      <c r="T216" s="1146">
        <v>2276.1375</v>
      </c>
      <c r="U216" s="1147">
        <v>2134.86</v>
      </c>
      <c r="V216" s="1147">
        <v>2040.6750000000002</v>
      </c>
      <c r="W216" s="1147">
        <v>1993.5825</v>
      </c>
      <c r="X216" s="1148">
        <v>1993.5825</v>
      </c>
    </row>
    <row r="217" spans="1:24" s="1134" customFormat="1" ht="42" customHeight="1">
      <c r="A217" s="909" t="s">
        <v>763</v>
      </c>
      <c r="B217" s="1299" t="s">
        <v>639</v>
      </c>
      <c r="C217" s="1582">
        <v>200</v>
      </c>
      <c r="D217" s="1582">
        <v>2</v>
      </c>
      <c r="E217" s="561">
        <v>25</v>
      </c>
      <c r="F217" s="477" t="s">
        <v>636</v>
      </c>
      <c r="G217" s="1279">
        <f t="shared" si="8"/>
        <v>2260.008135</v>
      </c>
      <c r="H217" s="1281" t="s">
        <v>3</v>
      </c>
      <c r="I217" s="2130">
        <f>G217/25</f>
        <v>90.4003254</v>
      </c>
      <c r="J217" s="2089"/>
      <c r="K217" s="480"/>
      <c r="L217" s="2133"/>
      <c r="M217" s="480"/>
      <c r="N217" s="480"/>
      <c r="O217" s="2133"/>
      <c r="P217" s="480"/>
      <c r="Q217" s="480"/>
      <c r="R217" s="2133"/>
      <c r="T217" s="1152">
        <v>1747.06875</v>
      </c>
      <c r="U217" s="1153">
        <v>1638.63</v>
      </c>
      <c r="V217" s="1153">
        <v>1566.3375</v>
      </c>
      <c r="W217" s="1153">
        <v>1530.19125</v>
      </c>
      <c r="X217" s="1153">
        <v>1530.19125</v>
      </c>
    </row>
    <row r="218" spans="1:24" s="1134" customFormat="1" ht="42" customHeight="1" thickBot="1">
      <c r="A218" s="1300" t="s">
        <v>1094</v>
      </c>
      <c r="B218" s="1301" t="s">
        <v>639</v>
      </c>
      <c r="C218" s="1583"/>
      <c r="D218" s="1583"/>
      <c r="E218" s="1302">
        <v>50</v>
      </c>
      <c r="F218" s="478" t="s">
        <v>636</v>
      </c>
      <c r="G218" s="479">
        <f t="shared" si="8"/>
        <v>4520.01627</v>
      </c>
      <c r="H218" s="481" t="s">
        <v>3</v>
      </c>
      <c r="I218" s="2129">
        <f>G218/50</f>
        <v>90.4003254</v>
      </c>
      <c r="J218" s="2089"/>
      <c r="K218" s="480"/>
      <c r="L218" s="2133"/>
      <c r="M218" s="480"/>
      <c r="N218" s="480"/>
      <c r="O218" s="2133"/>
      <c r="P218" s="480"/>
      <c r="Q218" s="480"/>
      <c r="R218" s="2133"/>
      <c r="T218" s="1155">
        <v>3494.1375</v>
      </c>
      <c r="U218" s="1156">
        <v>3277.26</v>
      </c>
      <c r="V218" s="1155">
        <v>3132.675</v>
      </c>
      <c r="W218" s="1155">
        <v>3060.3825</v>
      </c>
      <c r="X218" s="1155">
        <v>3060.3825</v>
      </c>
    </row>
    <row r="219" spans="5:18" s="127" customFormat="1" ht="20.25">
      <c r="E219" s="164"/>
      <c r="J219" s="2136"/>
      <c r="K219" s="1264"/>
      <c r="L219" s="1264"/>
      <c r="M219" s="1264"/>
      <c r="N219" s="1264"/>
      <c r="O219" s="1264"/>
      <c r="P219" s="1264"/>
      <c r="Q219" s="1264"/>
      <c r="R219" s="1264"/>
    </row>
    <row r="220" spans="1:19" s="43" customFormat="1" ht="18.75" thickBot="1">
      <c r="A220" s="1597" t="s">
        <v>657</v>
      </c>
      <c r="B220" s="1597"/>
      <c r="C220" s="1597"/>
      <c r="D220" s="1597"/>
      <c r="E220" s="1597"/>
      <c r="F220" s="1597"/>
      <c r="G220" s="1597"/>
      <c r="H220" s="1597"/>
      <c r="I220" s="1597"/>
      <c r="J220" s="2167"/>
      <c r="K220" s="510"/>
      <c r="L220" s="510"/>
      <c r="M220" s="512"/>
      <c r="N220" s="512"/>
      <c r="O220" s="512"/>
      <c r="P220" s="510"/>
      <c r="Q220" s="510"/>
      <c r="R220" s="510"/>
      <c r="S220" s="510"/>
    </row>
    <row r="221" spans="1:18" ht="12.75" customHeight="1" thickBot="1">
      <c r="A221" s="1584" t="s">
        <v>0</v>
      </c>
      <c r="B221" s="1586" t="s">
        <v>49</v>
      </c>
      <c r="C221" s="1588"/>
      <c r="D221" s="1588" t="s">
        <v>24</v>
      </c>
      <c r="E221" s="1588" t="s">
        <v>75</v>
      </c>
      <c r="F221" s="1607" t="s">
        <v>57</v>
      </c>
      <c r="G221" s="551" t="s">
        <v>1239</v>
      </c>
      <c r="H221" s="550"/>
      <c r="I221" s="2137"/>
      <c r="J221" s="2150"/>
      <c r="K221" s="2144"/>
      <c r="L221" s="2145"/>
      <c r="M221" s="2143"/>
      <c r="N221" s="2144"/>
      <c r="O221" s="2145"/>
      <c r="P221" s="2143"/>
      <c r="Q221" s="2144"/>
      <c r="R221" s="2145"/>
    </row>
    <row r="222" spans="1:18" ht="13.5" thickBot="1">
      <c r="A222" s="1585"/>
      <c r="B222" s="1587"/>
      <c r="C222" s="1589"/>
      <c r="D222" s="1589"/>
      <c r="E222" s="1589"/>
      <c r="F222" s="1608"/>
      <c r="G222" s="551" t="s">
        <v>2</v>
      </c>
      <c r="H222" s="550" t="s">
        <v>3</v>
      </c>
      <c r="I222" s="2137" t="s">
        <v>4</v>
      </c>
      <c r="J222" s="2150"/>
      <c r="K222" s="2144"/>
      <c r="L222" s="2145"/>
      <c r="M222" s="2143"/>
      <c r="N222" s="2144"/>
      <c r="O222" s="2145"/>
      <c r="P222" s="2143"/>
      <c r="Q222" s="2144"/>
      <c r="R222" s="2145"/>
    </row>
    <row r="223" spans="1:24" s="1134" customFormat="1" ht="35.25" customHeight="1">
      <c r="A223" s="663" t="s">
        <v>658</v>
      </c>
      <c r="B223" s="669" t="s">
        <v>1095</v>
      </c>
      <c r="C223" s="1303"/>
      <c r="D223" s="1304" t="s">
        <v>659</v>
      </c>
      <c r="E223" s="1305" t="s">
        <v>1096</v>
      </c>
      <c r="F223" s="1306"/>
      <c r="G223" s="1307">
        <f>T223*1.12*1.05*1.165</f>
        <v>1619.9133753600004</v>
      </c>
      <c r="H223" s="14" t="s">
        <v>3</v>
      </c>
      <c r="I223" s="2138">
        <f>G223/9</f>
        <v>179.99037504000003</v>
      </c>
      <c r="J223" s="2089"/>
      <c r="K223" s="555"/>
      <c r="L223" s="2133"/>
      <c r="M223" s="480"/>
      <c r="N223" s="555"/>
      <c r="O223" s="2133"/>
      <c r="P223" s="480"/>
      <c r="Q223" s="15"/>
      <c r="R223" s="2133"/>
      <c r="T223" s="1157">
        <v>1182.384</v>
      </c>
      <c r="U223" s="1157">
        <v>1123.2648000000002</v>
      </c>
      <c r="V223" s="1157">
        <v>1072.5912</v>
      </c>
      <c r="W223" s="1157">
        <v>1047.2544</v>
      </c>
      <c r="X223" s="1158">
        <v>1021.9176</v>
      </c>
    </row>
    <row r="224" spans="1:24" s="1134" customFormat="1" ht="35.25" customHeight="1">
      <c r="A224" s="557" t="s">
        <v>660</v>
      </c>
      <c r="B224" s="671" t="s">
        <v>1095</v>
      </c>
      <c r="C224" s="1308"/>
      <c r="D224" s="1309" t="s">
        <v>661</v>
      </c>
      <c r="E224" s="1310" t="s">
        <v>1096</v>
      </c>
      <c r="F224" s="1311"/>
      <c r="G224" s="581">
        <f aca="true" t="shared" si="9" ref="G224:G233">T224*1.12*1.05*1.165</f>
        <v>3239.8267507200007</v>
      </c>
      <c r="H224" s="1312" t="s">
        <v>3</v>
      </c>
      <c r="I224" s="2128">
        <f>G224/18</f>
        <v>179.99037504000003</v>
      </c>
      <c r="J224" s="2089"/>
      <c r="K224" s="555"/>
      <c r="L224" s="2133"/>
      <c r="M224" s="480"/>
      <c r="N224" s="555"/>
      <c r="O224" s="2133"/>
      <c r="P224" s="480"/>
      <c r="Q224" s="15"/>
      <c r="R224" s="2133"/>
      <c r="T224" s="967">
        <v>2364.768</v>
      </c>
      <c r="U224" s="967">
        <v>2246.5296000000003</v>
      </c>
      <c r="V224" s="967">
        <v>2145.1824</v>
      </c>
      <c r="W224" s="967">
        <v>2094.5088</v>
      </c>
      <c r="X224" s="1164">
        <v>2043.8352</v>
      </c>
    </row>
    <row r="225" spans="1:24" s="1134" customFormat="1" ht="39.75" customHeight="1">
      <c r="A225" s="557" t="s">
        <v>658</v>
      </c>
      <c r="B225" s="671" t="s">
        <v>1095</v>
      </c>
      <c r="C225" s="1308"/>
      <c r="D225" s="1313" t="s">
        <v>659</v>
      </c>
      <c r="E225" s="1310" t="s">
        <v>138</v>
      </c>
      <c r="F225" s="1314"/>
      <c r="G225" s="581">
        <f t="shared" si="9"/>
        <v>2249.879688</v>
      </c>
      <c r="H225" s="1312" t="s">
        <v>3</v>
      </c>
      <c r="I225" s="2139">
        <f>G225/9</f>
        <v>249.986632</v>
      </c>
      <c r="J225" s="2089"/>
      <c r="K225" s="555"/>
      <c r="L225" s="2133"/>
      <c r="M225" s="480"/>
      <c r="N225" s="555"/>
      <c r="O225" s="2133"/>
      <c r="P225" s="480"/>
      <c r="Q225" s="15"/>
      <c r="R225" s="2133"/>
      <c r="T225" s="967">
        <v>1642.1999999999998</v>
      </c>
      <c r="U225" s="967">
        <v>1560.0900000000001</v>
      </c>
      <c r="V225" s="967">
        <v>1489.71</v>
      </c>
      <c r="W225" s="967">
        <v>1454.52</v>
      </c>
      <c r="X225" s="1164">
        <v>1419.33</v>
      </c>
    </row>
    <row r="226" spans="1:24" s="1134" customFormat="1" ht="39.75" customHeight="1">
      <c r="A226" s="557" t="s">
        <v>660</v>
      </c>
      <c r="B226" s="671" t="s">
        <v>1095</v>
      </c>
      <c r="C226" s="1308"/>
      <c r="D226" s="1309" t="s">
        <v>661</v>
      </c>
      <c r="E226" s="1308" t="s">
        <v>138</v>
      </c>
      <c r="F226" s="1314"/>
      <c r="G226" s="581">
        <f t="shared" si="9"/>
        <v>4499.759376</v>
      </c>
      <c r="H226" s="1312" t="s">
        <v>3</v>
      </c>
      <c r="I226" s="2128">
        <f>G226/18</f>
        <v>249.986632</v>
      </c>
      <c r="J226" s="2089"/>
      <c r="K226" s="555"/>
      <c r="L226" s="2133"/>
      <c r="M226" s="480"/>
      <c r="N226" s="555"/>
      <c r="O226" s="2133"/>
      <c r="P226" s="480"/>
      <c r="Q226" s="15"/>
      <c r="R226" s="2133"/>
      <c r="T226" s="967">
        <v>3284.3999999999996</v>
      </c>
      <c r="U226" s="967">
        <v>3120.1800000000003</v>
      </c>
      <c r="V226" s="967">
        <v>2979.42</v>
      </c>
      <c r="W226" s="967">
        <v>2909.04</v>
      </c>
      <c r="X226" s="1164">
        <v>2838.66</v>
      </c>
    </row>
    <row r="227" spans="1:24" s="1134" customFormat="1" ht="24.75" customHeight="1">
      <c r="A227" s="557" t="s">
        <v>764</v>
      </c>
      <c r="B227" s="671" t="s">
        <v>663</v>
      </c>
      <c r="C227" s="1308"/>
      <c r="D227" s="1309" t="s">
        <v>765</v>
      </c>
      <c r="E227" s="1308" t="s">
        <v>664</v>
      </c>
      <c r="F227" s="1314"/>
      <c r="G227" s="581">
        <f t="shared" si="9"/>
        <v>1212.9786144</v>
      </c>
      <c r="H227" s="1312" t="s">
        <v>3</v>
      </c>
      <c r="I227" s="2139">
        <f>G227/6.48</f>
        <v>187.18805777777777</v>
      </c>
      <c r="J227" s="2089"/>
      <c r="K227" s="555"/>
      <c r="L227" s="2133"/>
      <c r="M227" s="480"/>
      <c r="N227" s="555"/>
      <c r="O227" s="2133"/>
      <c r="P227" s="480"/>
      <c r="Q227" s="15"/>
      <c r="R227" s="2133"/>
      <c r="T227" s="967">
        <v>885.3599999999999</v>
      </c>
      <c r="U227" s="967">
        <v>841.092</v>
      </c>
      <c r="V227" s="967">
        <v>803.148</v>
      </c>
      <c r="W227" s="967">
        <v>784.1759999999999</v>
      </c>
      <c r="X227" s="1164">
        <v>765.204</v>
      </c>
    </row>
    <row r="228" spans="1:24" s="1134" customFormat="1" ht="24.75" customHeight="1">
      <c r="A228" s="1159" t="s">
        <v>662</v>
      </c>
      <c r="B228" s="1160" t="s">
        <v>663</v>
      </c>
      <c r="C228" s="1166"/>
      <c r="D228" s="1162" t="s">
        <v>665</v>
      </c>
      <c r="E228" s="1161" t="s">
        <v>664</v>
      </c>
      <c r="F228" s="1165"/>
      <c r="G228" s="1141">
        <f t="shared" si="9"/>
        <v>1889.8989379200004</v>
      </c>
      <c r="H228" s="1163" t="s">
        <v>3</v>
      </c>
      <c r="I228" s="2140">
        <f>G228/7.2</f>
        <v>262.48596360000005</v>
      </c>
      <c r="J228" s="2151"/>
      <c r="K228" s="2147"/>
      <c r="L228" s="2148"/>
      <c r="M228" s="2146"/>
      <c r="N228" s="2147"/>
      <c r="O228" s="2148"/>
      <c r="P228" s="2146"/>
      <c r="Q228" s="2149"/>
      <c r="R228" s="2148"/>
      <c r="T228" s="1447">
        <v>1379.448</v>
      </c>
      <c r="U228" s="1447">
        <v>1310.4756000000002</v>
      </c>
      <c r="V228" s="1447">
        <v>1251.3564000000001</v>
      </c>
      <c r="W228" s="1447">
        <v>1221.7968</v>
      </c>
      <c r="X228" s="1448">
        <v>1192.2372</v>
      </c>
    </row>
    <row r="229" spans="1:24" s="1134" customFormat="1" ht="24.75" customHeight="1">
      <c r="A229" s="1159" t="s">
        <v>666</v>
      </c>
      <c r="B229" s="1160" t="s">
        <v>663</v>
      </c>
      <c r="C229" s="1161"/>
      <c r="D229" s="1162" t="s">
        <v>667</v>
      </c>
      <c r="E229" s="1161" t="s">
        <v>664</v>
      </c>
      <c r="F229" s="1165"/>
      <c r="G229" s="1141">
        <f t="shared" si="9"/>
        <v>3779.797875840001</v>
      </c>
      <c r="H229" s="1163" t="s">
        <v>3</v>
      </c>
      <c r="I229" s="2141">
        <f>G229/14.4</f>
        <v>262.48596360000005</v>
      </c>
      <c r="J229" s="2151"/>
      <c r="K229" s="2147"/>
      <c r="L229" s="2148"/>
      <c r="M229" s="2146"/>
      <c r="N229" s="2147"/>
      <c r="O229" s="2148"/>
      <c r="P229" s="2146"/>
      <c r="Q229" s="2149"/>
      <c r="R229" s="2148"/>
      <c r="T229" s="1447">
        <v>2758.896</v>
      </c>
      <c r="U229" s="1447">
        <v>2620.9512000000004</v>
      </c>
      <c r="V229" s="1447">
        <v>2502.7128000000002</v>
      </c>
      <c r="W229" s="1447">
        <v>2443.5936</v>
      </c>
      <c r="X229" s="1448">
        <v>2384.4744</v>
      </c>
    </row>
    <row r="230" spans="1:24" s="1134" customFormat="1" ht="24.75" customHeight="1">
      <c r="A230" s="1159" t="s">
        <v>666</v>
      </c>
      <c r="B230" s="1160" t="s">
        <v>663</v>
      </c>
      <c r="C230" s="1161"/>
      <c r="D230" s="1162" t="s">
        <v>1097</v>
      </c>
      <c r="E230" s="1161" t="s">
        <v>664</v>
      </c>
      <c r="F230" s="1165"/>
      <c r="G230" s="1141">
        <f t="shared" si="9"/>
        <v>44637.61300992</v>
      </c>
      <c r="H230" s="1163" t="s">
        <v>3</v>
      </c>
      <c r="I230" s="2140">
        <f>G230/187.2</f>
        <v>238.44878744615386</v>
      </c>
      <c r="J230" s="2151"/>
      <c r="K230" s="2147"/>
      <c r="L230" s="2148"/>
      <c r="M230" s="2146"/>
      <c r="N230" s="2147"/>
      <c r="O230" s="2148"/>
      <c r="P230" s="2146"/>
      <c r="Q230" s="2149"/>
      <c r="R230" s="2148"/>
      <c r="T230" s="1449">
        <v>32581.247999999996</v>
      </c>
      <c r="U230" s="1449">
        <v>30952.1856</v>
      </c>
      <c r="V230" s="1449">
        <v>29555.8464</v>
      </c>
      <c r="W230" s="1449">
        <v>28857.6768</v>
      </c>
      <c r="X230" s="1450">
        <v>28159.5072</v>
      </c>
    </row>
    <row r="231" spans="1:24" s="1134" customFormat="1" ht="24.75" customHeight="1">
      <c r="A231" s="1159" t="s">
        <v>1098</v>
      </c>
      <c r="B231" s="1160" t="s">
        <v>1099</v>
      </c>
      <c r="C231" s="1161"/>
      <c r="D231" s="1162" t="s">
        <v>1100</v>
      </c>
      <c r="E231" s="1161" t="s">
        <v>664</v>
      </c>
      <c r="F231" s="1165"/>
      <c r="G231" s="1141">
        <f t="shared" si="9"/>
        <v>1889.8989379200004</v>
      </c>
      <c r="H231" s="1163" t="s">
        <v>3</v>
      </c>
      <c r="I231" s="2140">
        <f>G231/4.5</f>
        <v>419.9775417600001</v>
      </c>
      <c r="J231" s="2151"/>
      <c r="K231" s="2147"/>
      <c r="L231" s="2148"/>
      <c r="M231" s="2146"/>
      <c r="N231" s="2147"/>
      <c r="O231" s="2148"/>
      <c r="P231" s="2146"/>
      <c r="Q231" s="2149"/>
      <c r="R231" s="2148"/>
      <c r="T231" s="1449">
        <v>1379.448</v>
      </c>
      <c r="U231" s="1449">
        <v>1310.4756000000002</v>
      </c>
      <c r="V231" s="1449">
        <v>1251.3564000000001</v>
      </c>
      <c r="W231" s="1449">
        <v>1221.7968</v>
      </c>
      <c r="X231" s="1451">
        <v>1192.2372</v>
      </c>
    </row>
    <row r="232" spans="1:32" s="1134" customFormat="1" ht="24.75" customHeight="1">
      <c r="A232" s="1159" t="s">
        <v>1101</v>
      </c>
      <c r="B232" s="1160" t="s">
        <v>1099</v>
      </c>
      <c r="C232" s="1161"/>
      <c r="D232" s="1162" t="s">
        <v>1102</v>
      </c>
      <c r="E232" s="1161" t="s">
        <v>664</v>
      </c>
      <c r="F232" s="1165"/>
      <c r="G232" s="1141">
        <f t="shared" si="9"/>
        <v>3779.797875840001</v>
      </c>
      <c r="H232" s="1163" t="s">
        <v>3</v>
      </c>
      <c r="I232" s="2140">
        <f>G232/9</f>
        <v>419.9775417600001</v>
      </c>
      <c r="J232" s="2151"/>
      <c r="K232" s="2147"/>
      <c r="L232" s="2148"/>
      <c r="M232" s="2146"/>
      <c r="N232" s="2147"/>
      <c r="O232" s="2148"/>
      <c r="P232" s="2146"/>
      <c r="Q232" s="2149"/>
      <c r="R232" s="2148"/>
      <c r="T232" s="1447">
        <v>2758.896</v>
      </c>
      <c r="U232" s="1447">
        <v>2620.9512000000004</v>
      </c>
      <c r="V232" s="1447">
        <v>2502.7128000000002</v>
      </c>
      <c r="W232" s="1447">
        <v>2443.5936</v>
      </c>
      <c r="X232" s="1448">
        <v>2384.4744</v>
      </c>
      <c r="AB232" s="1134">
        <v>2956</v>
      </c>
      <c r="AC232" s="1134">
        <v>2808</v>
      </c>
      <c r="AD232" s="1134">
        <v>2681</v>
      </c>
      <c r="AE232" s="1134">
        <v>2618</v>
      </c>
      <c r="AF232" s="1134">
        <v>2555</v>
      </c>
    </row>
    <row r="233" spans="1:24" s="1134" customFormat="1" ht="36.75" thickBot="1">
      <c r="A233" s="1150" t="s">
        <v>1105</v>
      </c>
      <c r="B233" s="1151" t="s">
        <v>1103</v>
      </c>
      <c r="C233" s="1150"/>
      <c r="D233" s="1251" t="s">
        <v>661</v>
      </c>
      <c r="E233" s="1167" t="s">
        <v>1104</v>
      </c>
      <c r="F233" s="1150"/>
      <c r="G233" s="1154">
        <f t="shared" si="9"/>
        <v>5579.70162624</v>
      </c>
      <c r="H233" s="1168" t="s">
        <v>3</v>
      </c>
      <c r="I233" s="2142">
        <f>G233/18</f>
        <v>309.98342368</v>
      </c>
      <c r="J233" s="2151"/>
      <c r="K233" s="2147"/>
      <c r="L233" s="2148"/>
      <c r="M233" s="2146"/>
      <c r="N233" s="2147"/>
      <c r="O233" s="2148"/>
      <c r="P233" s="2146"/>
      <c r="Q233" s="2149"/>
      <c r="R233" s="2148"/>
      <c r="T233" s="1452">
        <v>4072.6559999999995</v>
      </c>
      <c r="U233" s="1452">
        <v>3869.0232</v>
      </c>
      <c r="V233" s="1452">
        <v>3694.4808</v>
      </c>
      <c r="W233" s="1452">
        <v>3607.2096</v>
      </c>
      <c r="X233" s="1453">
        <v>3519.9384</v>
      </c>
    </row>
    <row r="234" spans="1:15" s="43" customFormat="1" ht="23.25" thickBot="1">
      <c r="A234" s="2161" t="s">
        <v>692</v>
      </c>
      <c r="B234" s="2161"/>
      <c r="C234" s="2161"/>
      <c r="D234" s="2161"/>
      <c r="E234" s="2161"/>
      <c r="F234" s="2161"/>
      <c r="G234" s="2161"/>
      <c r="H234" s="2161"/>
      <c r="I234" s="2161"/>
      <c r="J234" s="2160"/>
      <c r="K234" s="2160"/>
      <c r="L234" s="2160"/>
      <c r="M234" s="287"/>
      <c r="N234" s="287"/>
      <c r="O234" s="287"/>
    </row>
    <row r="235" spans="1:18" ht="13.5" thickBot="1">
      <c r="A235" s="1584" t="s">
        <v>0</v>
      </c>
      <c r="B235" s="1586" t="s">
        <v>49</v>
      </c>
      <c r="C235" s="1588"/>
      <c r="D235" s="1590" t="s">
        <v>24</v>
      </c>
      <c r="E235" s="1588" t="s">
        <v>75</v>
      </c>
      <c r="F235" s="1588" t="s">
        <v>57</v>
      </c>
      <c r="G235" s="1592" t="s">
        <v>1239</v>
      </c>
      <c r="H235" s="1593"/>
      <c r="I235" s="2152"/>
      <c r="J235" s="2158"/>
      <c r="K235" s="2156"/>
      <c r="L235" s="2156"/>
      <c r="M235" s="2156"/>
      <c r="N235" s="2156"/>
      <c r="O235" s="2156"/>
      <c r="P235" s="2156"/>
      <c r="Q235" s="2156"/>
      <c r="R235" s="2156"/>
    </row>
    <row r="236" spans="1:18" ht="13.5" thickBot="1">
      <c r="A236" s="1585"/>
      <c r="B236" s="1587"/>
      <c r="C236" s="1589"/>
      <c r="D236" s="1591"/>
      <c r="E236" s="1589"/>
      <c r="F236" s="1589"/>
      <c r="G236" s="550" t="s">
        <v>693</v>
      </c>
      <c r="H236" s="550" t="s">
        <v>3</v>
      </c>
      <c r="I236" s="2137" t="s">
        <v>4</v>
      </c>
      <c r="J236" s="2159"/>
      <c r="K236" s="2144"/>
      <c r="L236" s="2145"/>
      <c r="M236" s="2144"/>
      <c r="N236" s="2144"/>
      <c r="O236" s="2145"/>
      <c r="P236" s="2144"/>
      <c r="Q236" s="2144"/>
      <c r="R236" s="2145"/>
    </row>
    <row r="237" spans="1:24" s="1134" customFormat="1" ht="27" customHeight="1">
      <c r="A237" s="559" t="s">
        <v>694</v>
      </c>
      <c r="B237" s="1316" t="s">
        <v>695</v>
      </c>
      <c r="C237" s="1317"/>
      <c r="D237" s="560" t="s">
        <v>696</v>
      </c>
      <c r="E237" s="1318" t="s">
        <v>77</v>
      </c>
      <c r="F237" s="561" t="s">
        <v>697</v>
      </c>
      <c r="G237" s="1081">
        <f>T237*1.12*1.05*1.165</f>
        <v>1079.5915200000002</v>
      </c>
      <c r="H237" s="1319" t="s">
        <v>3</v>
      </c>
      <c r="I237" s="2153">
        <f>G237/3</f>
        <v>359.86384000000004</v>
      </c>
      <c r="J237" s="2089"/>
      <c r="K237" s="555"/>
      <c r="L237" s="2157"/>
      <c r="M237" s="480"/>
      <c r="N237" s="555"/>
      <c r="O237" s="2157"/>
      <c r="P237" s="480"/>
      <c r="Q237" s="15"/>
      <c r="R237" s="2157"/>
      <c r="T237" s="1169">
        <v>788</v>
      </c>
      <c r="U237" s="1170">
        <v>748.5999999999999</v>
      </c>
      <c r="V237" s="1171">
        <v>709.2</v>
      </c>
      <c r="W237" s="1170">
        <v>689.5</v>
      </c>
      <c r="X237" s="1171">
        <v>657.98</v>
      </c>
    </row>
    <row r="238" spans="1:24" s="1134" customFormat="1" ht="27" customHeight="1">
      <c r="A238" s="1320" t="s">
        <v>698</v>
      </c>
      <c r="B238" s="1321" t="s">
        <v>699</v>
      </c>
      <c r="C238" s="1322"/>
      <c r="D238" s="1323" t="s">
        <v>700</v>
      </c>
      <c r="E238" s="1324" t="s">
        <v>701</v>
      </c>
      <c r="F238" s="483" t="s">
        <v>702</v>
      </c>
      <c r="G238" s="581">
        <f>T238*1.12*1.05*1.165</f>
        <v>465.81360000000006</v>
      </c>
      <c r="H238" s="1312" t="s">
        <v>3</v>
      </c>
      <c r="I238" s="2154">
        <f>G238/0.25</f>
        <v>1863.2544000000003</v>
      </c>
      <c r="J238" s="2089"/>
      <c r="K238" s="555"/>
      <c r="L238" s="2157"/>
      <c r="M238" s="480"/>
      <c r="N238" s="555"/>
      <c r="O238" s="2157"/>
      <c r="P238" s="480"/>
      <c r="Q238" s="15"/>
      <c r="R238" s="2157"/>
      <c r="T238" s="1172">
        <v>340</v>
      </c>
      <c r="U238" s="1173">
        <v>323</v>
      </c>
      <c r="V238" s="1174">
        <v>306</v>
      </c>
      <c r="W238" s="1173">
        <v>297.5</v>
      </c>
      <c r="X238" s="1174">
        <v>283.9</v>
      </c>
    </row>
    <row r="239" spans="1:24" s="1134" customFormat="1" ht="27" customHeight="1">
      <c r="A239" s="1320" t="s">
        <v>703</v>
      </c>
      <c r="B239" s="1321" t="s">
        <v>704</v>
      </c>
      <c r="C239" s="1322"/>
      <c r="D239" s="1323" t="s">
        <v>700</v>
      </c>
      <c r="E239" s="1324" t="s">
        <v>77</v>
      </c>
      <c r="F239" s="483" t="s">
        <v>702</v>
      </c>
      <c r="G239" s="581">
        <f>T239*1.12*1.05*1.165</f>
        <v>383.61120000000005</v>
      </c>
      <c r="H239" s="1312" t="s">
        <v>3</v>
      </c>
      <c r="I239" s="2154">
        <f>G239/0.25</f>
        <v>1534.4448000000002</v>
      </c>
      <c r="J239" s="2089"/>
      <c r="K239" s="555"/>
      <c r="L239" s="2157"/>
      <c r="M239" s="480"/>
      <c r="N239" s="555"/>
      <c r="O239" s="2157"/>
      <c r="P239" s="480"/>
      <c r="Q239" s="15"/>
      <c r="R239" s="2157"/>
      <c r="T239" s="1172">
        <v>280</v>
      </c>
      <c r="U239" s="1173">
        <v>266</v>
      </c>
      <c r="V239" s="1174">
        <v>252</v>
      </c>
      <c r="W239" s="1173">
        <v>245</v>
      </c>
      <c r="X239" s="1174">
        <v>233.79999999999998</v>
      </c>
    </row>
    <row r="240" spans="1:24" s="1134" customFormat="1" ht="27" customHeight="1" thickBot="1">
      <c r="A240" s="562" t="s">
        <v>705</v>
      </c>
      <c r="B240" s="1325" t="s">
        <v>706</v>
      </c>
      <c r="C240" s="1326"/>
      <c r="D240" s="563" t="s">
        <v>700</v>
      </c>
      <c r="E240" s="1327" t="s">
        <v>77</v>
      </c>
      <c r="F240" s="564" t="s">
        <v>702</v>
      </c>
      <c r="G240" s="479">
        <f>T240*1.12*1.05*1.165</f>
        <v>367.1707200000001</v>
      </c>
      <c r="H240" s="1315" t="s">
        <v>3</v>
      </c>
      <c r="I240" s="2155">
        <f>G240/0.25</f>
        <v>1468.6828800000003</v>
      </c>
      <c r="J240" s="2089"/>
      <c r="K240" s="555"/>
      <c r="L240" s="2157"/>
      <c r="M240" s="480"/>
      <c r="N240" s="555"/>
      <c r="O240" s="2157"/>
      <c r="P240" s="480"/>
      <c r="Q240" s="15"/>
      <c r="R240" s="2157"/>
      <c r="T240" s="1175">
        <v>268</v>
      </c>
      <c r="U240" s="1176">
        <v>254.6</v>
      </c>
      <c r="V240" s="1177">
        <v>241.20000000000002</v>
      </c>
      <c r="W240" s="1176">
        <v>234.5</v>
      </c>
      <c r="X240" s="1177">
        <v>223.78</v>
      </c>
    </row>
    <row r="241" spans="1:15" s="556" customFormat="1" ht="18">
      <c r="A241" s="896"/>
      <c r="B241" s="897"/>
      <c r="C241" s="897"/>
      <c r="D241" s="898"/>
      <c r="E241" s="282"/>
      <c r="F241" s="1596" t="s">
        <v>978</v>
      </c>
      <c r="G241" s="1596"/>
      <c r="H241" s="1596"/>
      <c r="I241" s="898"/>
      <c r="M241" s="2165"/>
      <c r="N241" s="2165"/>
      <c r="O241" s="2165"/>
    </row>
    <row r="242" spans="1:15" s="837" customFormat="1" ht="18.75" thickBot="1">
      <c r="A242" s="899"/>
      <c r="B242" s="900"/>
      <c r="C242" s="900"/>
      <c r="D242" s="900"/>
      <c r="E242" s="165"/>
      <c r="F242" s="165"/>
      <c r="G242" s="900"/>
      <c r="H242" s="898"/>
      <c r="I242" s="898"/>
      <c r="M242" s="2166"/>
      <c r="N242" s="2166"/>
      <c r="O242" s="2166"/>
    </row>
    <row r="243" spans="1:15" s="837" customFormat="1" ht="15.75" customHeight="1" thickBot="1">
      <c r="A243" s="901" t="s">
        <v>0</v>
      </c>
      <c r="B243" s="902" t="s">
        <v>1</v>
      </c>
      <c r="C243" s="901" t="s">
        <v>979</v>
      </c>
      <c r="D243" s="903" t="s">
        <v>352</v>
      </c>
      <c r="E243" s="904"/>
      <c r="F243" s="905" t="s">
        <v>57</v>
      </c>
      <c r="G243" s="906" t="s">
        <v>693</v>
      </c>
      <c r="H243" s="907"/>
      <c r="I243" s="907"/>
      <c r="M243" s="2166"/>
      <c r="N243" s="2166"/>
      <c r="O243" s="2166"/>
    </row>
    <row r="244" spans="1:20" s="837" customFormat="1" ht="21" customHeight="1">
      <c r="A244" s="908" t="s">
        <v>980</v>
      </c>
      <c r="B244" s="909" t="s">
        <v>981</v>
      </c>
      <c r="C244" s="910" t="s">
        <v>982</v>
      </c>
      <c r="D244" s="999" t="s">
        <v>1065</v>
      </c>
      <c r="E244" s="911"/>
      <c r="F244" s="912" t="s">
        <v>983</v>
      </c>
      <c r="G244" s="913">
        <f>T244*1.02</f>
        <v>338.13</v>
      </c>
      <c r="H244" s="914"/>
      <c r="I244" s="915"/>
      <c r="M244" s="2166"/>
      <c r="N244" s="2166"/>
      <c r="O244" s="2166"/>
      <c r="T244" s="838">
        <v>331.5</v>
      </c>
    </row>
    <row r="245" spans="1:20" s="837" customFormat="1" ht="21" customHeight="1">
      <c r="A245" s="916" t="s">
        <v>984</v>
      </c>
      <c r="B245" s="917" t="s">
        <v>981</v>
      </c>
      <c r="C245" s="918" t="s">
        <v>985</v>
      </c>
      <c r="D245" s="917" t="s">
        <v>1065</v>
      </c>
      <c r="E245" s="919"/>
      <c r="F245" s="920" t="s">
        <v>983</v>
      </c>
      <c r="G245" s="921">
        <f aca="true" t="shared" si="10" ref="G245:G251">T245*1.02</f>
        <v>310.59000000000003</v>
      </c>
      <c r="H245" s="914"/>
      <c r="I245" s="915"/>
      <c r="M245" s="2166"/>
      <c r="N245" s="2166"/>
      <c r="O245" s="2166"/>
      <c r="T245" s="839">
        <v>304.5</v>
      </c>
    </row>
    <row r="246" spans="1:20" s="837" customFormat="1" ht="21" customHeight="1">
      <c r="A246" s="916" t="s">
        <v>986</v>
      </c>
      <c r="B246" s="917" t="s">
        <v>981</v>
      </c>
      <c r="C246" s="918" t="s">
        <v>987</v>
      </c>
      <c r="D246" s="1000" t="s">
        <v>1065</v>
      </c>
      <c r="E246" s="919"/>
      <c r="F246" s="920" t="s">
        <v>983</v>
      </c>
      <c r="G246" s="921">
        <f t="shared" si="10"/>
        <v>321.3</v>
      </c>
      <c r="H246" s="914"/>
      <c r="I246" s="915"/>
      <c r="M246" s="2166"/>
      <c r="N246" s="2166"/>
      <c r="O246" s="2166"/>
      <c r="T246" s="839">
        <v>315</v>
      </c>
    </row>
    <row r="247" spans="1:20" s="837" customFormat="1" ht="21" customHeight="1">
      <c r="A247" s="916" t="s">
        <v>988</v>
      </c>
      <c r="B247" s="917" t="s">
        <v>989</v>
      </c>
      <c r="C247" s="918" t="s">
        <v>990</v>
      </c>
      <c r="D247" s="919" t="s">
        <v>991</v>
      </c>
      <c r="E247" s="919"/>
      <c r="F247" s="920" t="s">
        <v>992</v>
      </c>
      <c r="G247" s="921">
        <f t="shared" si="10"/>
        <v>610.47</v>
      </c>
      <c r="H247" s="914"/>
      <c r="I247" s="915"/>
      <c r="M247" s="2166"/>
      <c r="N247" s="2166"/>
      <c r="O247" s="2166"/>
      <c r="T247" s="839">
        <v>598.5</v>
      </c>
    </row>
    <row r="248" spans="1:20" s="837" customFormat="1" ht="21" customHeight="1">
      <c r="A248" s="916" t="s">
        <v>993</v>
      </c>
      <c r="B248" s="917" t="s">
        <v>994</v>
      </c>
      <c r="C248" s="918" t="s">
        <v>990</v>
      </c>
      <c r="D248" s="919" t="s">
        <v>995</v>
      </c>
      <c r="E248" s="919"/>
      <c r="F248" s="920" t="s">
        <v>992</v>
      </c>
      <c r="G248" s="921">
        <f t="shared" si="10"/>
        <v>832.32</v>
      </c>
      <c r="H248" s="914"/>
      <c r="I248" s="915"/>
      <c r="M248" s="2166"/>
      <c r="N248" s="2166"/>
      <c r="O248" s="2166"/>
      <c r="T248" s="839">
        <v>816</v>
      </c>
    </row>
    <row r="249" spans="1:20" s="837" customFormat="1" ht="21" customHeight="1">
      <c r="A249" s="916" t="s">
        <v>996</v>
      </c>
      <c r="B249" s="917" t="s">
        <v>997</v>
      </c>
      <c r="C249" s="918" t="s">
        <v>990</v>
      </c>
      <c r="D249" s="919" t="s">
        <v>998</v>
      </c>
      <c r="E249" s="919"/>
      <c r="F249" s="920" t="s">
        <v>992</v>
      </c>
      <c r="G249" s="921">
        <f t="shared" si="10"/>
        <v>966.96</v>
      </c>
      <c r="H249" s="914"/>
      <c r="I249" s="915"/>
      <c r="M249" s="2166"/>
      <c r="N249" s="2166"/>
      <c r="O249" s="2166"/>
      <c r="T249" s="839">
        <v>948</v>
      </c>
    </row>
    <row r="250" spans="1:20" s="837" customFormat="1" ht="40.5" customHeight="1">
      <c r="A250" s="916" t="s">
        <v>999</v>
      </c>
      <c r="B250" s="919" t="s">
        <v>1000</v>
      </c>
      <c r="C250" s="922" t="s">
        <v>1001</v>
      </c>
      <c r="D250" s="919" t="s">
        <v>1002</v>
      </c>
      <c r="E250" s="923"/>
      <c r="F250" s="920" t="s">
        <v>992</v>
      </c>
      <c r="G250" s="921">
        <f t="shared" si="10"/>
        <v>2331.7200000000003</v>
      </c>
      <c r="H250" s="914"/>
      <c r="I250" s="915"/>
      <c r="M250" s="2166"/>
      <c r="N250" s="2166"/>
      <c r="O250" s="2166"/>
      <c r="T250" s="839">
        <v>2286</v>
      </c>
    </row>
    <row r="251" spans="1:20" s="837" customFormat="1" ht="39.75" customHeight="1" thickBot="1">
      <c r="A251" s="924" t="s">
        <v>1003</v>
      </c>
      <c r="B251" s="925" t="s">
        <v>1004</v>
      </c>
      <c r="C251" s="926" t="s">
        <v>1001</v>
      </c>
      <c r="D251" s="925" t="s">
        <v>1005</v>
      </c>
      <c r="E251" s="925"/>
      <c r="F251" s="927" t="s">
        <v>992</v>
      </c>
      <c r="G251" s="928">
        <f t="shared" si="10"/>
        <v>3199.23</v>
      </c>
      <c r="H251" s="914"/>
      <c r="I251" s="915"/>
      <c r="M251" s="2166"/>
      <c r="N251" s="2166"/>
      <c r="O251" s="2166"/>
      <c r="T251" s="840">
        <v>3136.5</v>
      </c>
    </row>
    <row r="253" spans="2:15" s="837" customFormat="1" ht="18.75" thickBot="1">
      <c r="B253" s="556"/>
      <c r="E253" s="556"/>
      <c r="F253" s="1597" t="s">
        <v>1006</v>
      </c>
      <c r="G253" s="1598"/>
      <c r="H253" s="1598"/>
      <c r="I253" s="1598"/>
      <c r="M253" s="2166"/>
      <c r="N253" s="2166"/>
      <c r="O253" s="2166"/>
    </row>
    <row r="254" spans="1:18" s="556" customFormat="1" ht="18.75" customHeight="1">
      <c r="A254" s="1599" t="s">
        <v>0</v>
      </c>
      <c r="B254" s="1601" t="s">
        <v>49</v>
      </c>
      <c r="C254" s="1603" t="s">
        <v>556</v>
      </c>
      <c r="D254" s="1605" t="s">
        <v>24</v>
      </c>
      <c r="E254" s="1603" t="s">
        <v>75</v>
      </c>
      <c r="F254" s="1603" t="s">
        <v>57</v>
      </c>
      <c r="G254" s="1594" t="s">
        <v>1239</v>
      </c>
      <c r="H254" s="1595"/>
      <c r="I254" s="1595"/>
      <c r="J254" s="2088"/>
      <c r="K254" s="2075"/>
      <c r="L254" s="2075"/>
      <c r="M254" s="2075"/>
      <c r="N254" s="2075"/>
      <c r="O254" s="2075"/>
      <c r="P254" s="2075"/>
      <c r="Q254" s="2075"/>
      <c r="R254" s="2075"/>
    </row>
    <row r="255" spans="1:18" s="556" customFormat="1" ht="18.75" thickBot="1">
      <c r="A255" s="1600"/>
      <c r="B255" s="1602"/>
      <c r="C255" s="1604"/>
      <c r="D255" s="1606"/>
      <c r="E255" s="1604"/>
      <c r="F255" s="1604"/>
      <c r="G255" s="161" t="s">
        <v>2</v>
      </c>
      <c r="H255" s="162" t="s">
        <v>3</v>
      </c>
      <c r="I255" s="2059" t="s">
        <v>4</v>
      </c>
      <c r="J255" s="2089"/>
      <c r="K255" s="480"/>
      <c r="L255" s="11"/>
      <c r="M255" s="2076"/>
      <c r="N255" s="480"/>
      <c r="O255" s="11"/>
      <c r="P255" s="2076"/>
      <c r="Q255" s="480"/>
      <c r="R255" s="11"/>
    </row>
    <row r="256" spans="1:24" s="1057" customFormat="1" ht="35.25" customHeight="1" thickBot="1">
      <c r="A256" s="1077" t="s">
        <v>1069</v>
      </c>
      <c r="B256" s="1078" t="s">
        <v>1070</v>
      </c>
      <c r="C256" s="1079">
        <v>50</v>
      </c>
      <c r="D256" s="1080" t="s">
        <v>1071</v>
      </c>
      <c r="E256" s="1079" t="s">
        <v>77</v>
      </c>
      <c r="F256" s="1080" t="s">
        <v>497</v>
      </c>
      <c r="G256" s="1081">
        <f>T256*1.12*1.045*1.05</f>
        <v>933.9792000000001</v>
      </c>
      <c r="H256" s="1082" t="s">
        <v>3</v>
      </c>
      <c r="I256" s="2153">
        <f>G256/40</f>
        <v>23.349480000000003</v>
      </c>
      <c r="J256" s="2089"/>
      <c r="K256" s="15"/>
      <c r="L256" s="2157"/>
      <c r="M256" s="480"/>
      <c r="N256" s="15"/>
      <c r="O256" s="2157"/>
      <c r="P256" s="480"/>
      <c r="Q256" s="15"/>
      <c r="R256" s="2157"/>
      <c r="T256" s="1057">
        <v>760</v>
      </c>
      <c r="U256" s="1057">
        <v>680</v>
      </c>
      <c r="V256" s="1057">
        <v>620</v>
      </c>
      <c r="W256" s="1057">
        <v>560</v>
      </c>
      <c r="X256" s="1057">
        <v>540</v>
      </c>
    </row>
    <row r="257" spans="1:24" s="841" customFormat="1" ht="36">
      <c r="A257" s="1083" t="s">
        <v>1007</v>
      </c>
      <c r="B257" s="559" t="s">
        <v>1008</v>
      </c>
      <c r="C257" s="560">
        <v>50</v>
      </c>
      <c r="D257" s="1084" t="s">
        <v>674</v>
      </c>
      <c r="E257" s="1085" t="s">
        <v>77</v>
      </c>
      <c r="F257" s="561" t="s">
        <v>1009</v>
      </c>
      <c r="G257" s="1081">
        <v>4424.112000000001</v>
      </c>
      <c r="H257" s="1082" t="s">
        <v>3</v>
      </c>
      <c r="I257" s="2153">
        <v>22.120560000000005</v>
      </c>
      <c r="J257" s="2089"/>
      <c r="K257" s="15"/>
      <c r="L257" s="2157"/>
      <c r="M257" s="480"/>
      <c r="N257" s="15"/>
      <c r="O257" s="2157"/>
      <c r="P257" s="480"/>
      <c r="Q257" s="15"/>
      <c r="R257" s="2157"/>
      <c r="T257" s="841">
        <v>3600</v>
      </c>
      <c r="U257" s="841">
        <v>3200</v>
      </c>
      <c r="V257" s="841">
        <v>2900</v>
      </c>
      <c r="W257" s="841">
        <v>2600</v>
      </c>
      <c r="X257" s="841">
        <v>2600</v>
      </c>
    </row>
    <row r="258" spans="1:24" s="841" customFormat="1" ht="36">
      <c r="A258" s="1086" t="s">
        <v>1010</v>
      </c>
      <c r="B258" s="1087" t="s">
        <v>1011</v>
      </c>
      <c r="C258" s="1088">
        <v>80</v>
      </c>
      <c r="D258" s="476" t="s">
        <v>674</v>
      </c>
      <c r="E258" s="1089" t="s">
        <v>1012</v>
      </c>
      <c r="F258" s="483" t="s">
        <v>1009</v>
      </c>
      <c r="G258" s="581">
        <v>6144.600000000001</v>
      </c>
      <c r="H258" s="1090" t="s">
        <v>3</v>
      </c>
      <c r="I258" s="2154">
        <v>30.723000000000006</v>
      </c>
      <c r="J258" s="2089"/>
      <c r="K258" s="15"/>
      <c r="L258" s="2157"/>
      <c r="M258" s="480"/>
      <c r="N258" s="15"/>
      <c r="O258" s="2157"/>
      <c r="P258" s="480"/>
      <c r="Q258" s="15"/>
      <c r="R258" s="2157"/>
      <c r="T258" s="841">
        <v>5000</v>
      </c>
      <c r="U258" s="841">
        <v>4400</v>
      </c>
      <c r="V258" s="841">
        <v>3900</v>
      </c>
      <c r="W258" s="841">
        <v>2900</v>
      </c>
      <c r="X258" s="841">
        <v>2600</v>
      </c>
    </row>
    <row r="259" spans="1:24" s="841" customFormat="1" ht="36.75" thickBot="1">
      <c r="A259" s="1091" t="s">
        <v>1013</v>
      </c>
      <c r="B259" s="562" t="s">
        <v>1011</v>
      </c>
      <c r="C259" s="563">
        <v>80</v>
      </c>
      <c r="D259" s="1092" t="s">
        <v>136</v>
      </c>
      <c r="E259" s="1093" t="s">
        <v>1012</v>
      </c>
      <c r="F259" s="564" t="s">
        <v>195</v>
      </c>
      <c r="G259" s="479">
        <v>3318.0840000000007</v>
      </c>
      <c r="H259" s="1094" t="s">
        <v>3</v>
      </c>
      <c r="I259" s="2155">
        <v>33.18084000000001</v>
      </c>
      <c r="J259" s="2089"/>
      <c r="K259" s="15"/>
      <c r="L259" s="2157"/>
      <c r="M259" s="480"/>
      <c r="N259" s="15"/>
      <c r="O259" s="2157"/>
      <c r="P259" s="480"/>
      <c r="Q259" s="15"/>
      <c r="R259" s="2157"/>
      <c r="T259" s="841">
        <v>2700</v>
      </c>
      <c r="U259" s="841">
        <v>2400</v>
      </c>
      <c r="V259" s="841">
        <v>2100</v>
      </c>
      <c r="W259" s="841">
        <v>1900</v>
      </c>
      <c r="X259" s="841">
        <v>1900</v>
      </c>
    </row>
  </sheetData>
  <sheetProtection/>
  <mergeCells count="66">
    <mergeCell ref="A4:I4"/>
    <mergeCell ref="C1:F3"/>
    <mergeCell ref="A234:I234"/>
    <mergeCell ref="A220:I220"/>
    <mergeCell ref="A204:I204"/>
    <mergeCell ref="A182:I182"/>
    <mergeCell ref="A165:I165"/>
    <mergeCell ref="A138:I138"/>
    <mergeCell ref="D7:D9"/>
    <mergeCell ref="J8:L8"/>
    <mergeCell ref="M8:O8"/>
    <mergeCell ref="F7:F9"/>
    <mergeCell ref="G7:I8"/>
    <mergeCell ref="A125:I125"/>
    <mergeCell ref="D207:D208"/>
    <mergeCell ref="F205:F206"/>
    <mergeCell ref="D211:D212"/>
    <mergeCell ref="D213:D214"/>
    <mergeCell ref="P205:R205"/>
    <mergeCell ref="J205:L205"/>
    <mergeCell ref="M205:O205"/>
    <mergeCell ref="C215:C216"/>
    <mergeCell ref="D215:D216"/>
    <mergeCell ref="C207:C208"/>
    <mergeCell ref="D209:D210"/>
    <mergeCell ref="C209:C214"/>
    <mergeCell ref="E205:E206"/>
    <mergeCell ref="G205:I205"/>
    <mergeCell ref="B7:B9"/>
    <mergeCell ref="C7:C9"/>
    <mergeCell ref="A221:A222"/>
    <mergeCell ref="B221:B222"/>
    <mergeCell ref="C221:C222"/>
    <mergeCell ref="A205:A206"/>
    <mergeCell ref="B205:B206"/>
    <mergeCell ref="C205:C206"/>
    <mergeCell ref="D205:D206"/>
    <mergeCell ref="M235:O235"/>
    <mergeCell ref="P235:R235"/>
    <mergeCell ref="D221:D222"/>
    <mergeCell ref="E221:E222"/>
    <mergeCell ref="F221:F222"/>
    <mergeCell ref="P8:R8"/>
    <mergeCell ref="A7:A9"/>
    <mergeCell ref="J235:L235"/>
    <mergeCell ref="A254:A255"/>
    <mergeCell ref="B254:B255"/>
    <mergeCell ref="C254:C255"/>
    <mergeCell ref="D254:D255"/>
    <mergeCell ref="E254:E255"/>
    <mergeCell ref="F254:F255"/>
    <mergeCell ref="J254:L254"/>
    <mergeCell ref="M254:O254"/>
    <mergeCell ref="P254:R254"/>
    <mergeCell ref="F241:H241"/>
    <mergeCell ref="F253:I253"/>
    <mergeCell ref="G254:I254"/>
    <mergeCell ref="C217:C218"/>
    <mergeCell ref="D217:D218"/>
    <mergeCell ref="A235:A236"/>
    <mergeCell ref="B235:B236"/>
    <mergeCell ref="C235:C236"/>
    <mergeCell ref="D235:D236"/>
    <mergeCell ref="E235:E236"/>
    <mergeCell ref="F235:F236"/>
    <mergeCell ref="G235:I235"/>
  </mergeCells>
  <printOptions horizontalCentered="1"/>
  <pageMargins left="0.1968503937007874" right="0.1968503937007874" top="0.31496062992125984" bottom="0.31496062992125984" header="0.15748031496062992" footer="0.15748031496062992"/>
  <pageSetup fitToHeight="6" fitToWidth="1" horizontalDpi="600" verticalDpi="600" orientation="landscape" paperSize="9" scale="35" r:id="rId2"/>
  <headerFooter alignWithMargins="0">
    <oddHeader>&amp;LДействителен с 02.08.2012</oddHeader>
    <oddFooter>&amp;C&amp;F&amp;A&amp;R&amp;D</oddFooter>
  </headerFooter>
  <rowBreaks count="3" manualBreakCount="3">
    <brk id="76" max="23" man="1"/>
    <brk id="124" max="255" man="1"/>
    <brk id="181" max="255" man="1"/>
  </rowBreaks>
  <ignoredErrors>
    <ignoredError sqref="I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65"/>
  <sheetViews>
    <sheetView zoomScale="53" zoomScaleNormal="53" zoomScaleSheetLayoutView="36" zoomScalePageLayoutView="40" workbookViewId="0" topLeftCell="A49">
      <pane xSplit="1" topLeftCell="B1" activePane="topRight" state="frozen"/>
      <selection pane="topLeft" activeCell="A21" sqref="A21"/>
      <selection pane="topRight" activeCell="C1" sqref="C1:F3"/>
    </sheetView>
  </sheetViews>
  <sheetFormatPr defaultColWidth="9.00390625" defaultRowHeight="12.75"/>
  <cols>
    <col min="1" max="1" width="26.75390625" style="43" customWidth="1"/>
    <col min="2" max="2" width="61.125" style="43" customWidth="1"/>
    <col min="3" max="3" width="30.25390625" style="43" customWidth="1"/>
    <col min="4" max="4" width="24.625" style="43" customWidth="1"/>
    <col min="5" max="5" width="20.25390625" style="272" customWidth="1"/>
    <col min="6" max="6" width="20.875" style="272" customWidth="1"/>
    <col min="7" max="7" width="18.25390625" style="272" customWidth="1"/>
    <col min="8" max="8" width="5.00390625" style="272" customWidth="1"/>
    <col min="9" max="9" width="15.875" style="272" customWidth="1"/>
    <col min="10" max="10" width="16.75390625" style="272" customWidth="1"/>
    <col min="11" max="11" width="3.75390625" style="272" customWidth="1"/>
    <col min="12" max="12" width="15.25390625" style="76" customWidth="1"/>
    <col min="13" max="13" width="15.75390625" style="2174" customWidth="1"/>
    <col min="14" max="14" width="3.375" style="2174" customWidth="1"/>
    <col min="15" max="15" width="20.875" style="2177" customWidth="1"/>
    <col min="16" max="16" width="16.75390625" style="272" customWidth="1"/>
    <col min="17" max="17" width="3.75390625" style="272" customWidth="1"/>
    <col min="18" max="18" width="15.75390625" style="76" customWidth="1"/>
    <col min="19" max="19" width="4.375" style="43" hidden="1" customWidth="1"/>
    <col min="20" max="24" width="9.125" style="43" hidden="1" customWidth="1"/>
    <col min="25" max="25" width="4.375" style="43" hidden="1" customWidth="1"/>
    <col min="26" max="16384" width="9.125" style="43" customWidth="1"/>
  </cols>
  <sheetData>
    <row r="1" spans="1:15" s="8" customFormat="1" ht="30.75" customHeight="1">
      <c r="A1" s="7"/>
      <c r="B1" s="93"/>
      <c r="C1" s="2173" t="s">
        <v>1241</v>
      </c>
      <c r="D1" s="2173"/>
      <c r="E1" s="2173"/>
      <c r="F1" s="2173"/>
      <c r="G1" s="91"/>
      <c r="H1" s="91"/>
      <c r="I1" s="91"/>
      <c r="J1" s="91"/>
      <c r="K1" s="91"/>
      <c r="L1" s="69"/>
      <c r="M1" s="431"/>
      <c r="N1" s="431"/>
      <c r="O1" s="431"/>
    </row>
    <row r="2" spans="1:15" s="8" customFormat="1" ht="26.25" customHeight="1">
      <c r="A2" s="7"/>
      <c r="B2" s="94"/>
      <c r="C2" s="2173"/>
      <c r="D2" s="2173"/>
      <c r="E2" s="2173"/>
      <c r="F2" s="2173"/>
      <c r="G2" s="92"/>
      <c r="H2" s="92"/>
      <c r="I2" s="92"/>
      <c r="J2" s="92"/>
      <c r="K2" s="92"/>
      <c r="L2" s="69"/>
      <c r="M2" s="431"/>
      <c r="N2" s="431"/>
      <c r="O2" s="431"/>
    </row>
    <row r="3" spans="1:15" s="8" customFormat="1" ht="24" customHeight="1">
      <c r="A3" s="7"/>
      <c r="B3" s="93"/>
      <c r="C3" s="2173"/>
      <c r="D3" s="2173"/>
      <c r="E3" s="2173"/>
      <c r="F3" s="2173"/>
      <c r="G3" s="2199"/>
      <c r="H3" s="2199"/>
      <c r="I3" s="2199"/>
      <c r="J3" s="2199"/>
      <c r="K3" s="2199"/>
      <c r="L3" s="69"/>
      <c r="M3" s="431"/>
      <c r="N3" s="431"/>
      <c r="O3" s="431"/>
    </row>
    <row r="4" spans="1:18" ht="31.5" customHeight="1">
      <c r="A4" s="1646" t="s">
        <v>157</v>
      </c>
      <c r="B4" s="1646"/>
      <c r="C4" s="1646"/>
      <c r="D4" s="1646"/>
      <c r="E4" s="1646"/>
      <c r="F4" s="1646"/>
      <c r="G4" s="1646"/>
      <c r="H4" s="1646"/>
      <c r="I4" s="1646"/>
      <c r="J4" s="2197"/>
      <c r="K4" s="2197"/>
      <c r="L4" s="2197"/>
      <c r="M4" s="2197"/>
      <c r="N4" s="2197"/>
      <c r="O4" s="2197"/>
      <c r="P4" s="2197"/>
      <c r="Q4" s="2197"/>
      <c r="R4" s="2197"/>
    </row>
    <row r="5" spans="2:18" ht="15.75">
      <c r="B5" s="39"/>
      <c r="C5" s="40"/>
      <c r="D5" s="40"/>
      <c r="E5" s="42"/>
      <c r="F5" s="42"/>
      <c r="G5" s="42"/>
      <c r="H5" s="42"/>
      <c r="I5" s="42"/>
      <c r="J5" s="42"/>
      <c r="K5" s="42"/>
      <c r="L5" s="77"/>
      <c r="M5" s="2175"/>
      <c r="N5" s="2175"/>
      <c r="O5" s="75"/>
      <c r="P5" s="42"/>
      <c r="Q5" s="42"/>
      <c r="R5" s="77"/>
    </row>
    <row r="6" spans="1:18" ht="30" customHeight="1" thickBot="1">
      <c r="A6" s="1645" t="s">
        <v>158</v>
      </c>
      <c r="B6" s="1645"/>
      <c r="C6" s="1645"/>
      <c r="D6" s="1645"/>
      <c r="E6" s="1645"/>
      <c r="F6" s="1645"/>
      <c r="G6" s="1645"/>
      <c r="H6" s="1645"/>
      <c r="I6" s="1645"/>
      <c r="J6" s="2198"/>
      <c r="K6" s="2198"/>
      <c r="L6" s="2198"/>
      <c r="M6" s="2198"/>
      <c r="N6" s="2198"/>
      <c r="O6" s="2198"/>
      <c r="P6" s="2198"/>
      <c r="Q6" s="2198"/>
      <c r="R6" s="2198"/>
    </row>
    <row r="7" spans="1:18" s="136" customFormat="1" ht="21.75" customHeight="1">
      <c r="A7" s="1647" t="s">
        <v>0</v>
      </c>
      <c r="B7" s="1647" t="s">
        <v>1</v>
      </c>
      <c r="C7" s="1647" t="s">
        <v>75</v>
      </c>
      <c r="D7" s="1647" t="s">
        <v>57</v>
      </c>
      <c r="E7" s="1647" t="s">
        <v>30</v>
      </c>
      <c r="F7" s="1653" t="s">
        <v>61</v>
      </c>
      <c r="G7" s="1658" t="s">
        <v>1239</v>
      </c>
      <c r="H7" s="1659"/>
      <c r="I7" s="2195"/>
      <c r="J7" s="2192"/>
      <c r="K7" s="2192"/>
      <c r="L7" s="2192"/>
      <c r="M7" s="2192"/>
      <c r="N7" s="2192"/>
      <c r="O7" s="2192"/>
      <c r="P7" s="2192"/>
      <c r="Q7" s="2192"/>
      <c r="R7" s="2192"/>
    </row>
    <row r="8" spans="1:18" s="145" customFormat="1" ht="42" customHeight="1">
      <c r="A8" s="1648"/>
      <c r="B8" s="1648"/>
      <c r="C8" s="1648"/>
      <c r="D8" s="1648"/>
      <c r="E8" s="1648"/>
      <c r="F8" s="1654"/>
      <c r="G8" s="2193"/>
      <c r="H8" s="2194"/>
      <c r="I8" s="2196"/>
      <c r="J8" s="2075"/>
      <c r="K8" s="2075"/>
      <c r="L8" s="2075"/>
      <c r="M8" s="2075"/>
      <c r="N8" s="2075"/>
      <c r="O8" s="2075"/>
      <c r="P8" s="2075"/>
      <c r="Q8" s="2075"/>
      <c r="R8" s="2075"/>
    </row>
    <row r="9" spans="1:18" s="145" customFormat="1" ht="30" customHeight="1" thickBot="1">
      <c r="A9" s="1648"/>
      <c r="B9" s="1648"/>
      <c r="C9" s="1648"/>
      <c r="D9" s="1648"/>
      <c r="E9" s="1648"/>
      <c r="F9" s="1654"/>
      <c r="G9" s="251" t="s">
        <v>300</v>
      </c>
      <c r="H9" s="252" t="s">
        <v>3</v>
      </c>
      <c r="I9" s="252" t="s">
        <v>142</v>
      </c>
      <c r="J9" s="2190"/>
      <c r="K9" s="2176"/>
      <c r="L9" s="2176"/>
      <c r="M9" s="2176"/>
      <c r="N9" s="2176"/>
      <c r="O9" s="2176"/>
      <c r="P9" s="2176"/>
      <c r="Q9" s="2176"/>
      <c r="R9" s="2176"/>
    </row>
    <row r="10" spans="1:18" s="145" customFormat="1" ht="45" customHeight="1">
      <c r="A10" s="860" t="s">
        <v>478</v>
      </c>
      <c r="B10" s="863" t="s">
        <v>159</v>
      </c>
      <c r="C10" s="866" t="s">
        <v>160</v>
      </c>
      <c r="D10" s="872" t="s">
        <v>202</v>
      </c>
      <c r="E10" s="869" t="s">
        <v>479</v>
      </c>
      <c r="F10" s="1655" t="s">
        <v>672</v>
      </c>
      <c r="G10" s="524">
        <f>1213.8*1.1*1.076</f>
        <v>1436.6536800000001</v>
      </c>
      <c r="H10" s="525" t="s">
        <v>3</v>
      </c>
      <c r="I10" s="2179">
        <f aca="true" t="shared" si="0" ref="I10:I16">G10/10</f>
        <v>143.665368</v>
      </c>
      <c r="J10" s="2191"/>
      <c r="K10" s="2186"/>
      <c r="L10" s="2187"/>
      <c r="M10" s="2185"/>
      <c r="N10" s="2186"/>
      <c r="O10" s="2187"/>
      <c r="P10" s="2185"/>
      <c r="Q10" s="2186"/>
      <c r="R10" s="2187"/>
    </row>
    <row r="11" spans="1:18" s="145" customFormat="1" ht="48" customHeight="1">
      <c r="A11" s="861" t="s">
        <v>480</v>
      </c>
      <c r="B11" s="864" t="s">
        <v>159</v>
      </c>
      <c r="C11" s="867" t="s">
        <v>160</v>
      </c>
      <c r="D11" s="873" t="s">
        <v>161</v>
      </c>
      <c r="E11" s="870" t="s">
        <v>481</v>
      </c>
      <c r="F11" s="1656"/>
      <c r="G11" s="337">
        <f>1424.2*1.1*1.076</f>
        <v>1685.6831200000001</v>
      </c>
      <c r="H11" s="527" t="s">
        <v>3</v>
      </c>
      <c r="I11" s="2180">
        <f t="shared" si="0"/>
        <v>168.56831200000002</v>
      </c>
      <c r="J11" s="2191"/>
      <c r="K11" s="2176"/>
      <c r="L11" s="2188"/>
      <c r="M11" s="2185"/>
      <c r="N11" s="2176"/>
      <c r="O11" s="2188"/>
      <c r="P11" s="2185"/>
      <c r="Q11" s="2176"/>
      <c r="R11" s="2188"/>
    </row>
    <row r="12" spans="1:18" s="145" customFormat="1" ht="45" customHeight="1" thickBot="1">
      <c r="A12" s="862" t="s">
        <v>482</v>
      </c>
      <c r="B12" s="865" t="s">
        <v>159</v>
      </c>
      <c r="C12" s="868" t="s">
        <v>160</v>
      </c>
      <c r="D12" s="874" t="s">
        <v>161</v>
      </c>
      <c r="E12" s="871" t="s">
        <v>483</v>
      </c>
      <c r="F12" s="1656"/>
      <c r="G12" s="528">
        <f>1837.8*1.1*1.076</f>
        <v>2175.2200800000005</v>
      </c>
      <c r="H12" s="529" t="s">
        <v>3</v>
      </c>
      <c r="I12" s="2181">
        <f t="shared" si="0"/>
        <v>217.52200800000006</v>
      </c>
      <c r="J12" s="2191"/>
      <c r="K12" s="2176"/>
      <c r="L12" s="2188"/>
      <c r="M12" s="2185"/>
      <c r="N12" s="2176"/>
      <c r="O12" s="2188"/>
      <c r="P12" s="2185"/>
      <c r="Q12" s="2176"/>
      <c r="R12" s="2188"/>
    </row>
    <row r="13" spans="1:24" s="842" customFormat="1" ht="42" customHeight="1">
      <c r="A13" s="929" t="s">
        <v>1036</v>
      </c>
      <c r="B13" s="930" t="s">
        <v>1040</v>
      </c>
      <c r="C13" s="931" t="s">
        <v>459</v>
      </c>
      <c r="D13" s="932" t="s">
        <v>1041</v>
      </c>
      <c r="E13" s="933" t="s">
        <v>31</v>
      </c>
      <c r="F13" s="1656"/>
      <c r="G13" s="442">
        <f>T13*1.1*1.076</f>
        <v>1254.3082640000002</v>
      </c>
      <c r="H13" s="934" t="s">
        <v>3</v>
      </c>
      <c r="I13" s="2182">
        <f t="shared" si="0"/>
        <v>125.43082640000003</v>
      </c>
      <c r="J13" s="2191"/>
      <c r="K13" s="2189"/>
      <c r="L13" s="2188"/>
      <c r="M13" s="2185"/>
      <c r="N13" s="2189"/>
      <c r="O13" s="2188"/>
      <c r="P13" s="2185"/>
      <c r="Q13" s="2186"/>
      <c r="R13" s="2188"/>
      <c r="T13" s="842">
        <v>1059.74</v>
      </c>
      <c r="U13" s="842">
        <v>1028.88</v>
      </c>
      <c r="V13" s="842">
        <v>998.91</v>
      </c>
      <c r="W13" s="842">
        <v>979.32</v>
      </c>
      <c r="X13" s="842">
        <v>960.12</v>
      </c>
    </row>
    <row r="14" spans="1:24" s="843" customFormat="1" ht="37.5" customHeight="1">
      <c r="A14" s="935" t="s">
        <v>1037</v>
      </c>
      <c r="B14" s="936" t="s">
        <v>668</v>
      </c>
      <c r="C14" s="937" t="s">
        <v>459</v>
      </c>
      <c r="D14" s="938" t="s">
        <v>1042</v>
      </c>
      <c r="E14" s="939" t="s">
        <v>31</v>
      </c>
      <c r="F14" s="1656"/>
      <c r="G14" s="337">
        <f>T14*1.1*1.076</f>
        <v>1534.2415000000003</v>
      </c>
      <c r="H14" s="940" t="s">
        <v>3</v>
      </c>
      <c r="I14" s="2183">
        <f t="shared" si="0"/>
        <v>153.42415000000003</v>
      </c>
      <c r="J14" s="2191"/>
      <c r="K14" s="2189"/>
      <c r="L14" s="2188"/>
      <c r="M14" s="2185"/>
      <c r="N14" s="2189"/>
      <c r="O14" s="2188"/>
      <c r="P14" s="2185"/>
      <c r="Q14" s="2186"/>
      <c r="R14" s="2188"/>
      <c r="T14" s="843">
        <v>1296.25</v>
      </c>
      <c r="U14" s="843">
        <v>1258.5</v>
      </c>
      <c r="V14" s="843">
        <v>1221.84</v>
      </c>
      <c r="W14" s="843">
        <v>1197.88</v>
      </c>
      <c r="X14" s="843">
        <v>1174.39</v>
      </c>
    </row>
    <row r="15" spans="1:24" s="843" customFormat="1" ht="37.5" customHeight="1">
      <c r="A15" s="935" t="s">
        <v>1038</v>
      </c>
      <c r="B15" s="941" t="s">
        <v>159</v>
      </c>
      <c r="C15" s="937" t="s">
        <v>459</v>
      </c>
      <c r="D15" s="938" t="s">
        <v>161</v>
      </c>
      <c r="E15" s="939" t="s">
        <v>176</v>
      </c>
      <c r="F15" s="1656"/>
      <c r="G15" s="337">
        <f>T15*1.1*1.076</f>
        <v>1836.4974320000001</v>
      </c>
      <c r="H15" s="940" t="s">
        <v>3</v>
      </c>
      <c r="I15" s="2183">
        <f t="shared" si="0"/>
        <v>183.64974320000002</v>
      </c>
      <c r="J15" s="2191"/>
      <c r="K15" s="2189"/>
      <c r="L15" s="2188"/>
      <c r="M15" s="2185"/>
      <c r="N15" s="2189"/>
      <c r="O15" s="2188"/>
      <c r="P15" s="2185"/>
      <c r="Q15" s="2186"/>
      <c r="R15" s="2188"/>
      <c r="T15" s="843">
        <v>1551.62</v>
      </c>
      <c r="U15" s="843">
        <v>1506.42</v>
      </c>
      <c r="V15" s="843">
        <v>1462.55</v>
      </c>
      <c r="W15" s="843">
        <v>1433.87</v>
      </c>
      <c r="X15" s="843">
        <v>1405.75</v>
      </c>
    </row>
    <row r="16" spans="1:24" s="843" customFormat="1" ht="37.5" customHeight="1" thickBot="1">
      <c r="A16" s="942" t="s">
        <v>1039</v>
      </c>
      <c r="B16" s="943" t="s">
        <v>159</v>
      </c>
      <c r="C16" s="944" t="s">
        <v>459</v>
      </c>
      <c r="D16" s="945" t="s">
        <v>161</v>
      </c>
      <c r="E16" s="946" t="s">
        <v>177</v>
      </c>
      <c r="F16" s="1657"/>
      <c r="G16" s="356">
        <f>T16*1.1*1.076</f>
        <v>2461.1304960000007</v>
      </c>
      <c r="H16" s="947" t="s">
        <v>3</v>
      </c>
      <c r="I16" s="2184">
        <f t="shared" si="0"/>
        <v>246.11304960000007</v>
      </c>
      <c r="J16" s="2191"/>
      <c r="K16" s="2189"/>
      <c r="L16" s="2188"/>
      <c r="M16" s="2185"/>
      <c r="N16" s="2189"/>
      <c r="O16" s="2188"/>
      <c r="P16" s="2185"/>
      <c r="Q16" s="2186"/>
      <c r="R16" s="2188"/>
      <c r="T16" s="843">
        <v>2079.36</v>
      </c>
      <c r="U16" s="843">
        <v>2018.8</v>
      </c>
      <c r="V16" s="843">
        <v>1960</v>
      </c>
      <c r="W16" s="843">
        <v>1921.56</v>
      </c>
      <c r="X16" s="843">
        <v>1883.89</v>
      </c>
    </row>
    <row r="18" spans="1:18" s="110" customFormat="1" ht="30" customHeight="1">
      <c r="A18" s="1645" t="s">
        <v>162</v>
      </c>
      <c r="B18" s="1645"/>
      <c r="C18" s="1645"/>
      <c r="D18" s="1645"/>
      <c r="E18" s="1645"/>
      <c r="F18" s="1645"/>
      <c r="G18" s="1645"/>
      <c r="H18" s="1645"/>
      <c r="I18" s="1645"/>
      <c r="J18" s="2198"/>
      <c r="K18" s="2198"/>
      <c r="L18" s="2198"/>
      <c r="M18" s="2198"/>
      <c r="N18" s="2198"/>
      <c r="O18" s="2198"/>
      <c r="P18" s="2198"/>
      <c r="Q18" s="2198"/>
      <c r="R18" s="2198"/>
    </row>
    <row r="19" ht="16.5" thickBot="1"/>
    <row r="20" spans="1:18" s="1" customFormat="1" ht="37.5" customHeight="1">
      <c r="A20" s="47" t="s">
        <v>0</v>
      </c>
      <c r="B20" s="1639" t="s">
        <v>1</v>
      </c>
      <c r="C20" s="1637" t="s">
        <v>75</v>
      </c>
      <c r="D20" s="1637" t="s">
        <v>57</v>
      </c>
      <c r="E20" s="1637" t="s">
        <v>141</v>
      </c>
      <c r="F20" s="1637" t="s">
        <v>144</v>
      </c>
      <c r="G20" s="1594" t="s">
        <v>1239</v>
      </c>
      <c r="H20" s="1595"/>
      <c r="I20" s="1595"/>
      <c r="J20" s="2088"/>
      <c r="K20" s="2075"/>
      <c r="L20" s="2075"/>
      <c r="M20" s="2075"/>
      <c r="N20" s="2075"/>
      <c r="O20" s="2075"/>
      <c r="P20" s="2075"/>
      <c r="Q20" s="2075"/>
      <c r="R20" s="2075"/>
    </row>
    <row r="21" spans="1:18" s="1" customFormat="1" ht="24.75" customHeight="1" thickBot="1">
      <c r="A21" s="49"/>
      <c r="B21" s="1640"/>
      <c r="C21" s="1660"/>
      <c r="D21" s="1638"/>
      <c r="E21" s="1638"/>
      <c r="F21" s="1638"/>
      <c r="G21" s="253" t="s">
        <v>2</v>
      </c>
      <c r="H21" s="254" t="s">
        <v>3</v>
      </c>
      <c r="I21" s="254" t="s">
        <v>445</v>
      </c>
      <c r="J21" s="2190"/>
      <c r="K21" s="2176"/>
      <c r="L21" s="2176"/>
      <c r="M21" s="2176"/>
      <c r="N21" s="2176"/>
      <c r="O21" s="2176"/>
      <c r="P21" s="2176"/>
      <c r="Q21" s="2176"/>
      <c r="R21" s="2176"/>
    </row>
    <row r="22" spans="1:18" s="169" customFormat="1" ht="41.25" customHeight="1">
      <c r="A22" s="339" t="s">
        <v>198</v>
      </c>
      <c r="B22" s="340" t="s">
        <v>652</v>
      </c>
      <c r="C22" s="341" t="s">
        <v>201</v>
      </c>
      <c r="D22" s="342" t="s">
        <v>145</v>
      </c>
      <c r="E22" s="343">
        <v>1</v>
      </c>
      <c r="F22" s="344">
        <v>30</v>
      </c>
      <c r="G22" s="524">
        <f>480*1.1*1.076</f>
        <v>568.128</v>
      </c>
      <c r="H22" s="525" t="s">
        <v>3</v>
      </c>
      <c r="I22" s="2179">
        <f>G22/30</f>
        <v>18.9376</v>
      </c>
      <c r="J22" s="2191"/>
      <c r="K22" s="2186"/>
      <c r="L22" s="2187"/>
      <c r="M22" s="2185"/>
      <c r="N22" s="2186"/>
      <c r="O22" s="2187"/>
      <c r="P22" s="2185"/>
      <c r="Q22" s="2186"/>
      <c r="R22" s="2187"/>
    </row>
    <row r="23" spans="1:18" s="169" customFormat="1" ht="50.25" customHeight="1">
      <c r="A23" s="345" t="s">
        <v>163</v>
      </c>
      <c r="B23" s="346" t="s">
        <v>652</v>
      </c>
      <c r="C23" s="347" t="s">
        <v>201</v>
      </c>
      <c r="D23" s="348" t="s">
        <v>145</v>
      </c>
      <c r="E23" s="349">
        <v>1.6</v>
      </c>
      <c r="F23" s="530">
        <v>30</v>
      </c>
      <c r="G23" s="337">
        <f>768*1.1*1.076</f>
        <v>909.0048000000002</v>
      </c>
      <c r="H23" s="531" t="s">
        <v>3</v>
      </c>
      <c r="I23" s="2200">
        <f>G23/48</f>
        <v>18.937600000000003</v>
      </c>
      <c r="J23" s="2191"/>
      <c r="K23" s="2186"/>
      <c r="L23" s="2187"/>
      <c r="M23" s="2185"/>
      <c r="N23" s="2186"/>
      <c r="O23" s="2187"/>
      <c r="P23" s="2185"/>
      <c r="Q23" s="2186"/>
      <c r="R23" s="2187"/>
    </row>
    <row r="24" spans="1:18" s="169" customFormat="1" ht="50.25" customHeight="1" thickBot="1">
      <c r="A24" s="350" t="s">
        <v>484</v>
      </c>
      <c r="B24" s="351" t="s">
        <v>652</v>
      </c>
      <c r="C24" s="352" t="s">
        <v>201</v>
      </c>
      <c r="D24" s="353" t="s">
        <v>145</v>
      </c>
      <c r="E24" s="354">
        <v>2.1</v>
      </c>
      <c r="F24" s="355">
        <v>30</v>
      </c>
      <c r="G24" s="338">
        <f>1008*1.1*1.076</f>
        <v>1193.0688000000002</v>
      </c>
      <c r="H24" s="532" t="s">
        <v>3</v>
      </c>
      <c r="I24" s="2201">
        <f>G24/63</f>
        <v>18.937600000000003</v>
      </c>
      <c r="J24" s="2191"/>
      <c r="K24" s="2186"/>
      <c r="L24" s="2187"/>
      <c r="M24" s="2185"/>
      <c r="N24" s="2186"/>
      <c r="O24" s="2187"/>
      <c r="P24" s="2185"/>
      <c r="Q24" s="2186"/>
      <c r="R24" s="2187"/>
    </row>
    <row r="25" spans="1:18" s="169" customFormat="1" ht="50.25" customHeight="1">
      <c r="A25" s="339" t="s">
        <v>199</v>
      </c>
      <c r="B25" s="340" t="s">
        <v>653</v>
      </c>
      <c r="C25" s="341" t="s">
        <v>201</v>
      </c>
      <c r="D25" s="342" t="s">
        <v>145</v>
      </c>
      <c r="E25" s="343">
        <v>1</v>
      </c>
      <c r="F25" s="344">
        <v>30</v>
      </c>
      <c r="G25" s="524">
        <f>616.5*1.1*1.076</f>
        <v>729.6894000000001</v>
      </c>
      <c r="H25" s="525" t="s">
        <v>3</v>
      </c>
      <c r="I25" s="2179">
        <f>G25/30</f>
        <v>24.322980000000005</v>
      </c>
      <c r="J25" s="2191"/>
      <c r="K25" s="2186"/>
      <c r="L25" s="2187"/>
      <c r="M25" s="2185"/>
      <c r="N25" s="2186"/>
      <c r="O25" s="2187"/>
      <c r="P25" s="2185"/>
      <c r="Q25" s="2186"/>
      <c r="R25" s="2187"/>
    </row>
    <row r="26" spans="1:18" s="169" customFormat="1" ht="50.25" customHeight="1">
      <c r="A26" s="345" t="s">
        <v>164</v>
      </c>
      <c r="B26" s="346" t="s">
        <v>653</v>
      </c>
      <c r="C26" s="347" t="s">
        <v>201</v>
      </c>
      <c r="D26" s="533" t="s">
        <v>145</v>
      </c>
      <c r="E26" s="530">
        <v>1.6</v>
      </c>
      <c r="F26" s="530">
        <v>30</v>
      </c>
      <c r="G26" s="337">
        <f>986.4*1.1*1.076</f>
        <v>1167.50304</v>
      </c>
      <c r="H26" s="531" t="s">
        <v>3</v>
      </c>
      <c r="I26" s="2200">
        <f>G26/48</f>
        <v>24.32298</v>
      </c>
      <c r="J26" s="2191"/>
      <c r="K26" s="2186"/>
      <c r="L26" s="2187"/>
      <c r="M26" s="2185"/>
      <c r="N26" s="2186"/>
      <c r="O26" s="2187"/>
      <c r="P26" s="2185"/>
      <c r="Q26" s="2186"/>
      <c r="R26" s="2187"/>
    </row>
    <row r="27" spans="1:18" s="169" customFormat="1" ht="50.25" customHeight="1" thickBot="1">
      <c r="A27" s="350" t="s">
        <v>485</v>
      </c>
      <c r="B27" s="351" t="s">
        <v>653</v>
      </c>
      <c r="C27" s="352" t="s">
        <v>201</v>
      </c>
      <c r="D27" s="534" t="s">
        <v>145</v>
      </c>
      <c r="E27" s="355">
        <v>2.1</v>
      </c>
      <c r="F27" s="355">
        <v>30</v>
      </c>
      <c r="G27" s="338">
        <f>1294.65*1.1*1.076</f>
        <v>1532.3477400000004</v>
      </c>
      <c r="H27" s="532" t="s">
        <v>3</v>
      </c>
      <c r="I27" s="2201">
        <f>G27/63</f>
        <v>24.322980000000005</v>
      </c>
      <c r="J27" s="2191"/>
      <c r="K27" s="2186"/>
      <c r="L27" s="2187"/>
      <c r="M27" s="2185"/>
      <c r="N27" s="2186"/>
      <c r="O27" s="2187"/>
      <c r="P27" s="2185"/>
      <c r="Q27" s="2186"/>
      <c r="R27" s="2187"/>
    </row>
    <row r="28" spans="1:18" s="169" customFormat="1" ht="50.25" customHeight="1">
      <c r="A28" s="339" t="s">
        <v>200</v>
      </c>
      <c r="B28" s="340" t="s">
        <v>654</v>
      </c>
      <c r="C28" s="343" t="s">
        <v>201</v>
      </c>
      <c r="D28" s="342" t="s">
        <v>145</v>
      </c>
      <c r="E28" s="343">
        <v>1</v>
      </c>
      <c r="F28" s="344">
        <v>30</v>
      </c>
      <c r="G28" s="524">
        <f>801*1.1*1.076</f>
        <v>948.0636000000001</v>
      </c>
      <c r="H28" s="525" t="s">
        <v>3</v>
      </c>
      <c r="I28" s="2179">
        <f>G28/30</f>
        <v>31.602120000000003</v>
      </c>
      <c r="J28" s="2191"/>
      <c r="K28" s="2186"/>
      <c r="L28" s="2187"/>
      <c r="M28" s="2185"/>
      <c r="N28" s="2186"/>
      <c r="O28" s="2187"/>
      <c r="P28" s="2185"/>
      <c r="Q28" s="2186"/>
      <c r="R28" s="2187"/>
    </row>
    <row r="29" spans="1:18" s="169" customFormat="1" ht="50.25" customHeight="1">
      <c r="A29" s="535" t="s">
        <v>165</v>
      </c>
      <c r="B29" s="536" t="s">
        <v>654</v>
      </c>
      <c r="C29" s="357" t="s">
        <v>201</v>
      </c>
      <c r="D29" s="533" t="s">
        <v>145</v>
      </c>
      <c r="E29" s="358">
        <v>1.6</v>
      </c>
      <c r="F29" s="358">
        <v>30</v>
      </c>
      <c r="G29" s="337">
        <f>1281.6*1.1*1.076</f>
        <v>1516.9017600000002</v>
      </c>
      <c r="H29" s="531" t="s">
        <v>3</v>
      </c>
      <c r="I29" s="2200">
        <f>G29/48</f>
        <v>31.602120000000003</v>
      </c>
      <c r="J29" s="2191"/>
      <c r="K29" s="2186"/>
      <c r="L29" s="2187"/>
      <c r="M29" s="2185"/>
      <c r="N29" s="2186"/>
      <c r="O29" s="2187"/>
      <c r="P29" s="2185"/>
      <c r="Q29" s="2186"/>
      <c r="R29" s="2187"/>
    </row>
    <row r="30" spans="1:18" s="169" customFormat="1" ht="50.25" customHeight="1" thickBot="1">
      <c r="A30" s="537" t="s">
        <v>486</v>
      </c>
      <c r="B30" s="538" t="s">
        <v>654</v>
      </c>
      <c r="C30" s="354" t="s">
        <v>201</v>
      </c>
      <c r="D30" s="534" t="s">
        <v>145</v>
      </c>
      <c r="E30" s="355">
        <v>2.1</v>
      </c>
      <c r="F30" s="355">
        <v>30</v>
      </c>
      <c r="G30" s="338">
        <f>1682.1*1.1*1.076</f>
        <v>1990.9335600000002</v>
      </c>
      <c r="H30" s="532" t="s">
        <v>3</v>
      </c>
      <c r="I30" s="2201">
        <f>G30/63</f>
        <v>31.602120000000003</v>
      </c>
      <c r="J30" s="2191"/>
      <c r="K30" s="2186"/>
      <c r="L30" s="2187"/>
      <c r="M30" s="2185"/>
      <c r="N30" s="2186"/>
      <c r="O30" s="2187"/>
      <c r="P30" s="2185"/>
      <c r="Q30" s="2186"/>
      <c r="R30" s="2187"/>
    </row>
    <row r="31" spans="1:18" s="290" customFormat="1" ht="36.75" customHeight="1">
      <c r="A31" s="339" t="s">
        <v>601</v>
      </c>
      <c r="B31" s="340" t="s">
        <v>655</v>
      </c>
      <c r="C31" s="343" t="s">
        <v>201</v>
      </c>
      <c r="D31" s="342" t="s">
        <v>145</v>
      </c>
      <c r="E31" s="344">
        <v>1</v>
      </c>
      <c r="F31" s="344">
        <v>30</v>
      </c>
      <c r="G31" s="524">
        <f>972*1.1*1.076</f>
        <v>1150.4592</v>
      </c>
      <c r="H31" s="526" t="s">
        <v>3</v>
      </c>
      <c r="I31" s="2179">
        <f>G31/30</f>
        <v>38.34864</v>
      </c>
      <c r="J31" s="2191"/>
      <c r="K31" s="2186"/>
      <c r="L31" s="2187"/>
      <c r="M31" s="2185"/>
      <c r="N31" s="2186"/>
      <c r="O31" s="2187"/>
      <c r="P31" s="2185"/>
      <c r="Q31" s="2186"/>
      <c r="R31" s="2187"/>
    </row>
    <row r="32" spans="1:18" s="169" customFormat="1" ht="50.25" customHeight="1">
      <c r="A32" s="345" t="s">
        <v>166</v>
      </c>
      <c r="B32" s="346" t="s">
        <v>655</v>
      </c>
      <c r="C32" s="349" t="s">
        <v>201</v>
      </c>
      <c r="D32" s="348" t="s">
        <v>145</v>
      </c>
      <c r="E32" s="530">
        <v>1.6</v>
      </c>
      <c r="F32" s="530">
        <v>30</v>
      </c>
      <c r="G32" s="528">
        <f>1555.2*1.1*1.076</f>
        <v>1840.7347200000004</v>
      </c>
      <c r="H32" s="539" t="s">
        <v>3</v>
      </c>
      <c r="I32" s="2202">
        <f>G32/48</f>
        <v>38.34864000000001</v>
      </c>
      <c r="J32" s="2191"/>
      <c r="K32" s="2186"/>
      <c r="L32" s="2187"/>
      <c r="M32" s="2185"/>
      <c r="N32" s="2186"/>
      <c r="O32" s="2187"/>
      <c r="P32" s="2185"/>
      <c r="Q32" s="2186"/>
      <c r="R32" s="2187"/>
    </row>
    <row r="33" spans="1:18" s="169" customFormat="1" ht="50.25" customHeight="1" thickBot="1">
      <c r="A33" s="537" t="s">
        <v>487</v>
      </c>
      <c r="B33" s="538" t="s">
        <v>655</v>
      </c>
      <c r="C33" s="354" t="s">
        <v>201</v>
      </c>
      <c r="D33" s="534" t="s">
        <v>145</v>
      </c>
      <c r="E33" s="355">
        <v>2.1</v>
      </c>
      <c r="F33" s="355">
        <v>30</v>
      </c>
      <c r="G33" s="338">
        <f>2041.2*1.1*1.076</f>
        <v>2415.9643200000005</v>
      </c>
      <c r="H33" s="532" t="s">
        <v>3</v>
      </c>
      <c r="I33" s="2201">
        <f>G33/63</f>
        <v>38.34864000000001</v>
      </c>
      <c r="J33" s="2191"/>
      <c r="K33" s="2186"/>
      <c r="L33" s="2187"/>
      <c r="M33" s="2185"/>
      <c r="N33" s="2186"/>
      <c r="O33" s="2187"/>
      <c r="P33" s="2185"/>
      <c r="Q33" s="2186"/>
      <c r="R33" s="2187"/>
    </row>
    <row r="34" spans="1:18" s="290" customFormat="1" ht="38.25" customHeight="1">
      <c r="A34" s="339" t="s">
        <v>602</v>
      </c>
      <c r="B34" s="340" t="s">
        <v>656</v>
      </c>
      <c r="C34" s="343" t="s">
        <v>201</v>
      </c>
      <c r="D34" s="342" t="s">
        <v>145</v>
      </c>
      <c r="E34" s="344">
        <v>1</v>
      </c>
      <c r="F34" s="344">
        <v>30</v>
      </c>
      <c r="G34" s="524">
        <f>1174.5*1.1*1.076</f>
        <v>1390.1382</v>
      </c>
      <c r="H34" s="526" t="s">
        <v>3</v>
      </c>
      <c r="I34" s="2179">
        <f>G34/30</f>
        <v>46.33794</v>
      </c>
      <c r="J34" s="2191"/>
      <c r="K34" s="2186"/>
      <c r="L34" s="2187"/>
      <c r="M34" s="2185"/>
      <c r="N34" s="2186"/>
      <c r="O34" s="2187"/>
      <c r="P34" s="2185"/>
      <c r="Q34" s="2186"/>
      <c r="R34" s="2187"/>
    </row>
    <row r="35" spans="1:18" s="169" customFormat="1" ht="50.25" customHeight="1">
      <c r="A35" s="345" t="s">
        <v>167</v>
      </c>
      <c r="B35" s="346" t="s">
        <v>656</v>
      </c>
      <c r="C35" s="349" t="s">
        <v>201</v>
      </c>
      <c r="D35" s="348" t="s">
        <v>145</v>
      </c>
      <c r="E35" s="530">
        <v>1.6</v>
      </c>
      <c r="F35" s="530">
        <v>30</v>
      </c>
      <c r="G35" s="528">
        <f>1879.2*1.1*1.076</f>
        <v>2224.2211200000006</v>
      </c>
      <c r="H35" s="539" t="s">
        <v>3</v>
      </c>
      <c r="I35" s="2202">
        <f>G35/48</f>
        <v>46.33794000000001</v>
      </c>
      <c r="J35" s="2191"/>
      <c r="K35" s="2186"/>
      <c r="L35" s="2187"/>
      <c r="M35" s="2185"/>
      <c r="N35" s="2186"/>
      <c r="O35" s="2187"/>
      <c r="P35" s="2185"/>
      <c r="Q35" s="2186"/>
      <c r="R35" s="2187"/>
    </row>
    <row r="36" spans="1:18" s="169" customFormat="1" ht="44.25" customHeight="1" thickBot="1">
      <c r="A36" s="350" t="s">
        <v>488</v>
      </c>
      <c r="B36" s="351" t="s">
        <v>656</v>
      </c>
      <c r="C36" s="540" t="s">
        <v>201</v>
      </c>
      <c r="D36" s="353" t="s">
        <v>145</v>
      </c>
      <c r="E36" s="359">
        <v>2.1</v>
      </c>
      <c r="F36" s="359">
        <v>30</v>
      </c>
      <c r="G36" s="356">
        <f>2466.45*1.1*1.076</f>
        <v>2919.29022</v>
      </c>
      <c r="H36" s="541" t="s">
        <v>3</v>
      </c>
      <c r="I36" s="2203">
        <f>G36/63</f>
        <v>46.337939999999996</v>
      </c>
      <c r="J36" s="2191"/>
      <c r="K36" s="2186"/>
      <c r="L36" s="2187"/>
      <c r="M36" s="2185"/>
      <c r="N36" s="2186"/>
      <c r="O36" s="2187"/>
      <c r="P36" s="2185"/>
      <c r="Q36" s="2186"/>
      <c r="R36" s="2187"/>
    </row>
    <row r="37" spans="1:18" ht="15.75">
      <c r="A37" s="50"/>
      <c r="B37" s="44"/>
      <c r="C37" s="50"/>
      <c r="D37" s="45"/>
      <c r="E37" s="45"/>
      <c r="F37" s="45"/>
      <c r="G37" s="45"/>
      <c r="H37" s="45"/>
      <c r="I37" s="45"/>
      <c r="J37" s="45"/>
      <c r="K37" s="45"/>
      <c r="L37" s="46"/>
      <c r="M37" s="2178"/>
      <c r="N37" s="2178"/>
      <c r="O37" s="2178"/>
      <c r="P37" s="46"/>
      <c r="Q37" s="46"/>
      <c r="R37" s="46"/>
    </row>
    <row r="38" spans="1:18" ht="34.5" customHeight="1" thickBot="1">
      <c r="A38" s="1643" t="s">
        <v>494</v>
      </c>
      <c r="B38" s="1643"/>
      <c r="C38" s="1643"/>
      <c r="D38" s="1643"/>
      <c r="E38" s="1643"/>
      <c r="F38" s="1643"/>
      <c r="G38" s="1643"/>
      <c r="H38" s="1643"/>
      <c r="I38" s="1643"/>
      <c r="J38" s="2204"/>
      <c r="K38" s="2204"/>
      <c r="L38" s="2204"/>
      <c r="M38" s="2204"/>
      <c r="N38" s="2204"/>
      <c r="O38" s="2204"/>
      <c r="P38" s="2204"/>
      <c r="Q38" s="2204"/>
      <c r="R38" s="2204"/>
    </row>
    <row r="39" spans="1:18" ht="19.5" customHeight="1">
      <c r="A39" s="1637" t="s">
        <v>0</v>
      </c>
      <c r="B39" s="1639" t="s">
        <v>1</v>
      </c>
      <c r="C39" s="1637" t="s">
        <v>75</v>
      </c>
      <c r="D39" s="1637" t="s">
        <v>57</v>
      </c>
      <c r="E39" s="1637" t="s">
        <v>141</v>
      </c>
      <c r="F39" s="1637" t="s">
        <v>144</v>
      </c>
      <c r="G39" s="1641" t="s">
        <v>444</v>
      </c>
      <c r="H39" s="1642"/>
      <c r="I39" s="1642"/>
      <c r="J39" s="2206"/>
      <c r="K39" s="2205"/>
      <c r="L39" s="2205"/>
      <c r="M39" s="2205"/>
      <c r="N39" s="2205"/>
      <c r="O39" s="2205"/>
      <c r="P39" s="2205"/>
      <c r="Q39" s="2205"/>
      <c r="R39" s="2205"/>
    </row>
    <row r="40" spans="1:18" ht="28.5" customHeight="1" thickBot="1">
      <c r="A40" s="1638"/>
      <c r="B40" s="1640"/>
      <c r="C40" s="1638"/>
      <c r="D40" s="1638"/>
      <c r="E40" s="1638"/>
      <c r="F40" s="1638"/>
      <c r="G40" s="253" t="s">
        <v>2</v>
      </c>
      <c r="H40" s="254" t="s">
        <v>3</v>
      </c>
      <c r="I40" s="254" t="s">
        <v>142</v>
      </c>
      <c r="J40" s="2190"/>
      <c r="K40" s="2176"/>
      <c r="L40" s="2176"/>
      <c r="M40" s="2176"/>
      <c r="N40" s="2176"/>
      <c r="O40" s="2176"/>
      <c r="P40" s="2176"/>
      <c r="Q40" s="2176"/>
      <c r="R40" s="2176"/>
    </row>
    <row r="41" spans="1:24" s="169" customFormat="1" ht="28.5" customHeight="1">
      <c r="A41" s="1328" t="s">
        <v>1106</v>
      </c>
      <c r="B41" s="1328" t="s">
        <v>1107</v>
      </c>
      <c r="C41" s="1253" t="s">
        <v>160</v>
      </c>
      <c r="D41" s="1329" t="s">
        <v>145</v>
      </c>
      <c r="E41" s="1253">
        <v>1.6</v>
      </c>
      <c r="F41" s="1253">
        <v>200</v>
      </c>
      <c r="G41" s="324">
        <f>T41*1.12*1.05*1.165</f>
        <v>6166.550040000002</v>
      </c>
      <c r="H41" s="22" t="s">
        <v>3</v>
      </c>
      <c r="I41" s="787">
        <f>G41/320</f>
        <v>19.270468875000006</v>
      </c>
      <c r="J41" s="2090"/>
      <c r="K41" s="658"/>
      <c r="L41" s="2081"/>
      <c r="M41" s="629"/>
      <c r="N41" s="658"/>
      <c r="O41" s="2081"/>
      <c r="P41" s="629"/>
      <c r="Q41" s="630"/>
      <c r="R41" s="2081"/>
      <c r="T41" s="169">
        <v>4501</v>
      </c>
      <c r="U41" s="169">
        <v>4346</v>
      </c>
      <c r="V41" s="169">
        <v>4190</v>
      </c>
      <c r="W41" s="169">
        <v>4035</v>
      </c>
      <c r="X41" s="169">
        <v>3911</v>
      </c>
    </row>
    <row r="42" spans="1:18" ht="27.75" customHeight="1">
      <c r="A42" s="345" t="s">
        <v>490</v>
      </c>
      <c r="B42" s="346" t="s">
        <v>491</v>
      </c>
      <c r="C42" s="1238" t="s">
        <v>160</v>
      </c>
      <c r="D42" s="348" t="s">
        <v>145</v>
      </c>
      <c r="E42" s="349">
        <v>1</v>
      </c>
      <c r="F42" s="349">
        <v>50</v>
      </c>
      <c r="G42" s="330">
        <f>1088*1.12*1.05*1.165</f>
        <v>1490.6035200000003</v>
      </c>
      <c r="H42" s="23" t="s">
        <v>3</v>
      </c>
      <c r="I42" s="888">
        <f>G42/50</f>
        <v>29.812070400000007</v>
      </c>
      <c r="J42" s="2090"/>
      <c r="K42" s="658"/>
      <c r="L42" s="2081"/>
      <c r="M42" s="629"/>
      <c r="N42" s="658"/>
      <c r="O42" s="2081"/>
      <c r="P42" s="629"/>
      <c r="Q42" s="630"/>
      <c r="R42" s="2081"/>
    </row>
    <row r="43" spans="1:18" ht="30.75" customHeight="1">
      <c r="A43" s="345" t="s">
        <v>492</v>
      </c>
      <c r="B43" s="346" t="s">
        <v>491</v>
      </c>
      <c r="C43" s="347" t="s">
        <v>160</v>
      </c>
      <c r="D43" s="348" t="s">
        <v>145</v>
      </c>
      <c r="E43" s="349">
        <v>1.6</v>
      </c>
      <c r="F43" s="349">
        <v>50</v>
      </c>
      <c r="G43" s="330">
        <f>1748*1.12*1.05*1.165</f>
        <v>2394.82992</v>
      </c>
      <c r="H43" s="23" t="s">
        <v>3</v>
      </c>
      <c r="I43" s="888">
        <f>G43/80</f>
        <v>29.935374000000003</v>
      </c>
      <c r="J43" s="2090"/>
      <c r="K43" s="658"/>
      <c r="L43" s="2081"/>
      <c r="M43" s="629"/>
      <c r="N43" s="658"/>
      <c r="O43" s="2081"/>
      <c r="P43" s="629"/>
      <c r="Q43" s="630"/>
      <c r="R43" s="2081"/>
    </row>
    <row r="44" spans="1:18" ht="26.25" customHeight="1" thickBot="1">
      <c r="A44" s="350" t="s">
        <v>493</v>
      </c>
      <c r="B44" s="351" t="s">
        <v>491</v>
      </c>
      <c r="C44" s="352" t="s">
        <v>160</v>
      </c>
      <c r="D44" s="353" t="s">
        <v>145</v>
      </c>
      <c r="E44" s="354">
        <v>2.2</v>
      </c>
      <c r="F44" s="354">
        <v>50</v>
      </c>
      <c r="G44" s="327">
        <f>2390*1.12*1.05*1.165</f>
        <v>3274.3956000000003</v>
      </c>
      <c r="H44" s="72" t="s">
        <v>3</v>
      </c>
      <c r="I44" s="1128">
        <f>G44/110</f>
        <v>29.76723272727273</v>
      </c>
      <c r="J44" s="2090"/>
      <c r="K44" s="658"/>
      <c r="L44" s="2081"/>
      <c r="M44" s="629"/>
      <c r="N44" s="658"/>
      <c r="O44" s="2081"/>
      <c r="P44" s="629"/>
      <c r="Q44" s="630"/>
      <c r="R44" s="2081"/>
    </row>
    <row r="45" spans="1:18" ht="15.75">
      <c r="A45" s="50"/>
      <c r="B45" s="44"/>
      <c r="C45" s="50"/>
      <c r="D45" s="45"/>
      <c r="E45" s="45"/>
      <c r="F45" s="45"/>
      <c r="G45" s="45"/>
      <c r="H45" s="45"/>
      <c r="I45" s="45"/>
      <c r="J45" s="45"/>
      <c r="K45" s="45"/>
      <c r="L45" s="46"/>
      <c r="M45" s="2178"/>
      <c r="N45" s="2178"/>
      <c r="O45" s="2178"/>
      <c r="P45" s="46"/>
      <c r="Q45" s="46"/>
      <c r="R45" s="46"/>
    </row>
    <row r="46" spans="1:18" ht="30.75" thickBot="1">
      <c r="A46" s="2207" t="s">
        <v>458</v>
      </c>
      <c r="B46" s="2207"/>
      <c r="C46" s="2207"/>
      <c r="D46" s="2207"/>
      <c r="E46" s="2207"/>
      <c r="F46" s="2207"/>
      <c r="G46" s="2207"/>
      <c r="H46" s="2207"/>
      <c r="I46" s="2207"/>
      <c r="J46" s="2211"/>
      <c r="K46" s="2211"/>
      <c r="L46" s="2211"/>
      <c r="M46" s="2211"/>
      <c r="N46" s="2211"/>
      <c r="O46" s="2211"/>
      <c r="P46" s="2211"/>
      <c r="Q46" s="2211"/>
      <c r="R46" s="2211"/>
    </row>
    <row r="47" spans="1:18" ht="18" customHeight="1">
      <c r="A47" s="1649" t="s">
        <v>0</v>
      </c>
      <c r="B47" s="1651" t="s">
        <v>1</v>
      </c>
      <c r="C47" s="1637" t="s">
        <v>75</v>
      </c>
      <c r="D47" s="1637" t="s">
        <v>57</v>
      </c>
      <c r="E47" s="1637" t="s">
        <v>141</v>
      </c>
      <c r="F47" s="1637" t="s">
        <v>144</v>
      </c>
      <c r="G47" s="1594" t="s">
        <v>444</v>
      </c>
      <c r="H47" s="1595"/>
      <c r="I47" s="1595"/>
      <c r="J47" s="2088"/>
      <c r="K47" s="2075"/>
      <c r="L47" s="2075"/>
      <c r="M47" s="2075"/>
      <c r="N47" s="2075"/>
      <c r="O47" s="2075"/>
      <c r="P47" s="2075"/>
      <c r="Q47" s="2075"/>
      <c r="R47" s="2075"/>
    </row>
    <row r="48" spans="1:18" ht="16.5" thickBot="1">
      <c r="A48" s="1650"/>
      <c r="B48" s="1652"/>
      <c r="C48" s="1660"/>
      <c r="D48" s="1638"/>
      <c r="E48" s="1638"/>
      <c r="F48" s="1638"/>
      <c r="G48" s="502" t="s">
        <v>2</v>
      </c>
      <c r="H48" s="503" t="s">
        <v>3</v>
      </c>
      <c r="I48" s="2208" t="s">
        <v>4</v>
      </c>
      <c r="J48" s="2190"/>
      <c r="K48" s="2212"/>
      <c r="L48" s="2213"/>
      <c r="M48" s="2176"/>
      <c r="N48" s="2212"/>
      <c r="O48" s="2213"/>
      <c r="P48" s="2176"/>
      <c r="Q48" s="2212"/>
      <c r="R48" s="2213"/>
    </row>
    <row r="49" spans="1:18" ht="30" customHeight="1">
      <c r="A49" s="453" t="s">
        <v>457</v>
      </c>
      <c r="B49" s="454" t="s">
        <v>458</v>
      </c>
      <c r="C49" s="343" t="s">
        <v>459</v>
      </c>
      <c r="D49" s="343" t="s">
        <v>145</v>
      </c>
      <c r="E49" s="996">
        <v>0.95</v>
      </c>
      <c r="F49" s="993">
        <v>25</v>
      </c>
      <c r="G49" s="324">
        <f>2781*1.05*1.05*1.05</f>
        <v>3219.3551250000005</v>
      </c>
      <c r="H49" s="516" t="s">
        <v>3</v>
      </c>
      <c r="I49" s="1130">
        <f>G49/23.75</f>
        <v>135.55179473684214</v>
      </c>
      <c r="J49" s="2090"/>
      <c r="K49" s="630"/>
      <c r="L49" s="628"/>
      <c r="M49" s="629"/>
      <c r="N49" s="630"/>
      <c r="O49" s="628"/>
      <c r="P49" s="629"/>
      <c r="Q49" s="630"/>
      <c r="R49" s="628"/>
    </row>
    <row r="50" spans="1:24" s="676" customFormat="1" ht="25.5" customHeight="1">
      <c r="A50" s="360" t="s">
        <v>1063</v>
      </c>
      <c r="B50" s="1033" t="s">
        <v>458</v>
      </c>
      <c r="C50" s="349" t="s">
        <v>459</v>
      </c>
      <c r="D50" s="349" t="s">
        <v>145</v>
      </c>
      <c r="E50" s="1034">
        <v>0.95</v>
      </c>
      <c r="F50" s="993">
        <v>10</v>
      </c>
      <c r="G50" s="330">
        <f>T50*1.05*1.05*1.05</f>
        <v>1287.2790000000002</v>
      </c>
      <c r="H50" s="1035" t="s">
        <v>3</v>
      </c>
      <c r="I50" s="1131">
        <f>G50/9.5</f>
        <v>135.50305263157898</v>
      </c>
      <c r="J50" s="2090"/>
      <c r="K50" s="630"/>
      <c r="L50" s="628"/>
      <c r="M50" s="629"/>
      <c r="N50" s="630"/>
      <c r="O50" s="628"/>
      <c r="P50" s="629"/>
      <c r="Q50" s="630"/>
      <c r="R50" s="628"/>
      <c r="T50" s="992">
        <v>1112</v>
      </c>
      <c r="U50" s="676">
        <v>1059</v>
      </c>
      <c r="V50" s="676">
        <v>998</v>
      </c>
      <c r="W50" s="676">
        <v>911</v>
      </c>
      <c r="X50" s="676">
        <v>849</v>
      </c>
    </row>
    <row r="51" spans="1:18" ht="27" customHeight="1">
      <c r="A51" s="360" t="s">
        <v>460</v>
      </c>
      <c r="B51" s="455" t="s">
        <v>458</v>
      </c>
      <c r="C51" s="357" t="s">
        <v>459</v>
      </c>
      <c r="D51" s="357" t="s">
        <v>145</v>
      </c>
      <c r="E51" s="858">
        <v>1.9</v>
      </c>
      <c r="F51" s="994">
        <v>25</v>
      </c>
      <c r="G51" s="330">
        <f>5291*1.05*1.05*1.05</f>
        <v>6124.993875000001</v>
      </c>
      <c r="H51" s="517" t="s">
        <v>3</v>
      </c>
      <c r="I51" s="2209">
        <f>G51/47.5</f>
        <v>128.94723947368422</v>
      </c>
      <c r="J51" s="2090"/>
      <c r="K51" s="2214"/>
      <c r="L51" s="2215"/>
      <c r="M51" s="629"/>
      <c r="N51" s="2214"/>
      <c r="O51" s="2215"/>
      <c r="P51" s="629"/>
      <c r="Q51" s="2214"/>
      <c r="R51" s="2215"/>
    </row>
    <row r="52" spans="1:18" ht="36" customHeight="1" thickBot="1">
      <c r="A52" s="361" t="s">
        <v>461</v>
      </c>
      <c r="B52" s="456" t="s">
        <v>458</v>
      </c>
      <c r="C52" s="354" t="s">
        <v>459</v>
      </c>
      <c r="D52" s="354" t="s">
        <v>145</v>
      </c>
      <c r="E52" s="997">
        <v>1.9</v>
      </c>
      <c r="F52" s="995">
        <v>50</v>
      </c>
      <c r="G52" s="327">
        <f>10581*1.05*1.05*1.05</f>
        <v>12248.830125000002</v>
      </c>
      <c r="H52" s="518" t="s">
        <v>3</v>
      </c>
      <c r="I52" s="2210">
        <f>G52/95</f>
        <v>128.93505394736843</v>
      </c>
      <c r="J52" s="2090"/>
      <c r="K52" s="2214"/>
      <c r="L52" s="2215"/>
      <c r="M52" s="629"/>
      <c r="N52" s="2214"/>
      <c r="O52" s="2215"/>
      <c r="P52" s="629"/>
      <c r="Q52" s="2214"/>
      <c r="R52" s="2215"/>
    </row>
    <row r="54" spans="1:18" ht="45.75" customHeight="1" thickBot="1">
      <c r="A54" s="1644" t="s">
        <v>469</v>
      </c>
      <c r="B54" s="1644"/>
      <c r="C54" s="1644"/>
      <c r="D54" s="1644"/>
      <c r="E54" s="1644"/>
      <c r="F54" s="1644"/>
      <c r="G54" s="1644"/>
      <c r="H54" s="1644"/>
      <c r="I54" s="1644"/>
      <c r="J54" s="2216"/>
      <c r="K54" s="2216"/>
      <c r="L54" s="2216"/>
      <c r="M54" s="2216"/>
      <c r="N54" s="2216"/>
      <c r="O54" s="2216"/>
      <c r="P54" s="2216"/>
      <c r="Q54" s="2216"/>
      <c r="R54" s="2216"/>
    </row>
    <row r="55" spans="1:18" ht="18.75" thickBot="1">
      <c r="A55" s="276"/>
      <c r="B55" s="273" t="s">
        <v>1</v>
      </c>
      <c r="C55" s="1663" t="s">
        <v>462</v>
      </c>
      <c r="D55" s="1664"/>
      <c r="E55" s="274" t="s">
        <v>75</v>
      </c>
      <c r="F55" s="275" t="s">
        <v>57</v>
      </c>
      <c r="G55" s="500" t="s">
        <v>463</v>
      </c>
      <c r="H55" s="501" t="s">
        <v>3</v>
      </c>
      <c r="I55" s="2217" t="s">
        <v>4</v>
      </c>
      <c r="J55" s="2224"/>
      <c r="K55" s="2220"/>
      <c r="L55" s="2221"/>
      <c r="M55" s="2220"/>
      <c r="N55" s="2220"/>
      <c r="O55" s="2221"/>
      <c r="P55" s="2220"/>
      <c r="Q55" s="2220"/>
      <c r="R55" s="2221"/>
    </row>
    <row r="56" spans="1:18" ht="40.5">
      <c r="A56" s="1243"/>
      <c r="B56" s="1244" t="s">
        <v>464</v>
      </c>
      <c r="C56" s="1661" t="s">
        <v>465</v>
      </c>
      <c r="D56" s="1661"/>
      <c r="E56" s="60" t="s">
        <v>77</v>
      </c>
      <c r="F56" s="97" t="s">
        <v>466</v>
      </c>
      <c r="G56" s="1245">
        <v>156</v>
      </c>
      <c r="H56" s="1246" t="s">
        <v>3</v>
      </c>
      <c r="I56" s="2218">
        <v>836.8421052</v>
      </c>
      <c r="J56" s="2225"/>
      <c r="K56" s="2220"/>
      <c r="L56" s="2189"/>
      <c r="M56" s="2222"/>
      <c r="N56" s="2220"/>
      <c r="O56" s="2189"/>
      <c r="P56" s="2222"/>
      <c r="Q56" s="2220"/>
      <c r="R56" s="2223"/>
    </row>
    <row r="57" spans="1:18" ht="41.25" thickBot="1">
      <c r="A57" s="1243"/>
      <c r="B57" s="1247" t="s">
        <v>467</v>
      </c>
      <c r="C57" s="1662" t="s">
        <v>468</v>
      </c>
      <c r="D57" s="1662"/>
      <c r="E57" s="1248" t="s">
        <v>76</v>
      </c>
      <c r="F57" s="100" t="s">
        <v>466</v>
      </c>
      <c r="G57" s="1249">
        <v>312</v>
      </c>
      <c r="H57" s="1250" t="s">
        <v>3</v>
      </c>
      <c r="I57" s="2219">
        <v>891.42857142</v>
      </c>
      <c r="J57" s="2225"/>
      <c r="K57" s="2220"/>
      <c r="L57" s="2189"/>
      <c r="M57" s="2222"/>
      <c r="N57" s="2220"/>
      <c r="O57" s="2189"/>
      <c r="P57" s="2222"/>
      <c r="Q57" s="2220"/>
      <c r="R57" s="2223"/>
    </row>
    <row r="58" ht="15.75">
      <c r="A58" s="285"/>
    </row>
    <row r="59" spans="1:18" s="37" customFormat="1" ht="30" customHeight="1">
      <c r="A59" s="1609" t="s">
        <v>325</v>
      </c>
      <c r="B59" s="1609"/>
      <c r="C59" s="1609"/>
      <c r="D59" s="1609"/>
      <c r="E59" s="1609"/>
      <c r="F59" s="1609"/>
      <c r="G59" s="1609"/>
      <c r="H59" s="1609"/>
      <c r="I59" s="1609"/>
      <c r="J59" s="2171"/>
      <c r="K59" s="2171"/>
      <c r="L59" s="2171"/>
      <c r="M59" s="2171"/>
      <c r="N59" s="2171"/>
      <c r="O59" s="2171"/>
      <c r="P59" s="2171"/>
      <c r="Q59" s="2171"/>
      <c r="R59" s="2171"/>
    </row>
    <row r="60" spans="1:18" s="37" customFormat="1" ht="11.25" customHeight="1" thickBot="1">
      <c r="A60" s="16"/>
      <c r="B60" s="17"/>
      <c r="C60" s="18"/>
      <c r="D60" s="18"/>
      <c r="E60" s="18"/>
      <c r="F60" s="18"/>
      <c r="G60" s="18"/>
      <c r="H60" s="18"/>
      <c r="I60" s="18"/>
      <c r="J60" s="18"/>
      <c r="K60" s="19"/>
      <c r="L60" s="20"/>
      <c r="M60" s="11"/>
      <c r="N60" s="480"/>
      <c r="O60" s="15"/>
      <c r="P60" s="21"/>
      <c r="Q60" s="19"/>
      <c r="R60" s="20"/>
    </row>
    <row r="61" spans="1:19" s="37" customFormat="1" ht="21.75" customHeight="1" thickBot="1">
      <c r="A61" s="631"/>
      <c r="B61" s="632"/>
      <c r="C61" s="633"/>
      <c r="D61" s="634" t="s">
        <v>313</v>
      </c>
      <c r="E61" s="634"/>
      <c r="F61" s="2226"/>
      <c r="G61" s="1546"/>
      <c r="H61" s="1376"/>
      <c r="I61" s="1376"/>
      <c r="J61" s="266"/>
      <c r="K61" s="266"/>
      <c r="L61" s="2105"/>
      <c r="M61" s="266"/>
      <c r="N61" s="266"/>
      <c r="O61" s="2105"/>
      <c r="P61" s="266"/>
      <c r="Q61" s="266"/>
      <c r="R61" s="2105"/>
      <c r="S61" s="118"/>
    </row>
    <row r="62" spans="1:19" s="37" customFormat="1" ht="41.25" customHeight="1">
      <c r="A62" s="96" t="s">
        <v>792</v>
      </c>
      <c r="B62" s="656" t="s">
        <v>323</v>
      </c>
      <c r="C62" s="97" t="s">
        <v>324</v>
      </c>
      <c r="D62" s="102">
        <v>300</v>
      </c>
      <c r="E62" s="97" t="s">
        <v>76</v>
      </c>
      <c r="F62" s="2227">
        <f>20.96*1.06*1.04*1.05</f>
        <v>24.261619200000002</v>
      </c>
      <c r="G62" s="2231"/>
      <c r="H62" s="628"/>
      <c r="I62" s="2229"/>
      <c r="J62" s="2081"/>
      <c r="K62" s="628"/>
      <c r="L62" s="2081"/>
      <c r="M62" s="2081"/>
      <c r="N62" s="628"/>
      <c r="O62" s="2081"/>
      <c r="P62" s="2081"/>
      <c r="Q62" s="628"/>
      <c r="R62" s="2081"/>
      <c r="S62" s="118"/>
    </row>
    <row r="63" spans="1:19" s="37" customFormat="1" ht="41.25" customHeight="1">
      <c r="A63" s="103" t="s">
        <v>793</v>
      </c>
      <c r="B63" s="657" t="s">
        <v>323</v>
      </c>
      <c r="C63" s="95" t="s">
        <v>324</v>
      </c>
      <c r="D63" s="98">
        <v>400</v>
      </c>
      <c r="E63" s="95" t="s">
        <v>76</v>
      </c>
      <c r="F63" s="2228">
        <f>23.22*1.06*1.04*1.05</f>
        <v>26.877614400000002</v>
      </c>
      <c r="G63" s="2231"/>
      <c r="H63" s="628"/>
      <c r="I63" s="2229"/>
      <c r="J63" s="2081"/>
      <c r="K63" s="628"/>
      <c r="L63" s="2081"/>
      <c r="M63" s="2081"/>
      <c r="N63" s="628"/>
      <c r="O63" s="2081"/>
      <c r="P63" s="2081"/>
      <c r="Q63" s="628"/>
      <c r="R63" s="2230"/>
      <c r="S63" s="118"/>
    </row>
    <row r="64" spans="1:19" s="37" customFormat="1" ht="41.25" customHeight="1">
      <c r="A64" s="104" t="s">
        <v>794</v>
      </c>
      <c r="B64" s="657" t="s">
        <v>323</v>
      </c>
      <c r="C64" s="105" t="s">
        <v>324</v>
      </c>
      <c r="D64" s="106">
        <v>500</v>
      </c>
      <c r="E64" s="105" t="s">
        <v>76</v>
      </c>
      <c r="F64" s="2228">
        <f>31*1.06*1.04*1.05</f>
        <v>35.88312</v>
      </c>
      <c r="G64" s="2090"/>
      <c r="H64" s="658"/>
      <c r="I64" s="2229"/>
      <c r="J64" s="2081"/>
      <c r="K64" s="628"/>
      <c r="L64" s="2081"/>
      <c r="M64" s="2081"/>
      <c r="N64" s="628"/>
      <c r="O64" s="2081"/>
      <c r="P64" s="2081"/>
      <c r="Q64" s="628"/>
      <c r="R64" s="2081"/>
      <c r="S64" s="118"/>
    </row>
    <row r="65" spans="1:19" s="37" customFormat="1" ht="41.25" customHeight="1" thickBot="1">
      <c r="A65" s="688" t="s">
        <v>795</v>
      </c>
      <c r="B65" s="509" t="s">
        <v>323</v>
      </c>
      <c r="C65" s="278" t="s">
        <v>324</v>
      </c>
      <c r="D65" s="699">
        <v>800</v>
      </c>
      <c r="E65" s="278" t="s">
        <v>76</v>
      </c>
      <c r="F65" s="401">
        <f>41*1.06*1.04*1.05</f>
        <v>47.45832</v>
      </c>
      <c r="G65" s="2090"/>
      <c r="H65" s="658"/>
      <c r="I65" s="2229"/>
      <c r="J65" s="2081"/>
      <c r="K65" s="628"/>
      <c r="L65" s="2081"/>
      <c r="M65" s="2081"/>
      <c r="N65" s="628"/>
      <c r="O65" s="2081"/>
      <c r="P65" s="2081"/>
      <c r="Q65" s="628"/>
      <c r="R65" s="2081"/>
      <c r="S65" s="118"/>
    </row>
  </sheetData>
  <sheetProtection/>
  <mergeCells count="51">
    <mergeCell ref="A4:I4"/>
    <mergeCell ref="A6:I6"/>
    <mergeCell ref="C1:F3"/>
    <mergeCell ref="A18:I18"/>
    <mergeCell ref="A38:I38"/>
    <mergeCell ref="A46:I46"/>
    <mergeCell ref="C56:D56"/>
    <mergeCell ref="C57:D57"/>
    <mergeCell ref="C55:D55"/>
    <mergeCell ref="F20:F21"/>
    <mergeCell ref="P20:R20"/>
    <mergeCell ref="A54:I54"/>
    <mergeCell ref="A59:I59"/>
    <mergeCell ref="F10:F16"/>
    <mergeCell ref="C7:C9"/>
    <mergeCell ref="C47:C48"/>
    <mergeCell ref="C20:C21"/>
    <mergeCell ref="E20:E21"/>
    <mergeCell ref="G7:I8"/>
    <mergeCell ref="M8:O8"/>
    <mergeCell ref="P8:R8"/>
    <mergeCell ref="B7:B9"/>
    <mergeCell ref="D7:D9"/>
    <mergeCell ref="A7:A9"/>
    <mergeCell ref="E7:E9"/>
    <mergeCell ref="F7:F9"/>
    <mergeCell ref="J8:L8"/>
    <mergeCell ref="G47:I47"/>
    <mergeCell ref="J47:L47"/>
    <mergeCell ref="M47:O47"/>
    <mergeCell ref="P47:R47"/>
    <mergeCell ref="D47:D48"/>
    <mergeCell ref="M20:O20"/>
    <mergeCell ref="E47:E48"/>
    <mergeCell ref="F47:F48"/>
    <mergeCell ref="G20:I20"/>
    <mergeCell ref="P39:R39"/>
    <mergeCell ref="G39:I39"/>
    <mergeCell ref="J39:L39"/>
    <mergeCell ref="M39:O39"/>
    <mergeCell ref="A47:A48"/>
    <mergeCell ref="B47:B48"/>
    <mergeCell ref="A39:A40"/>
    <mergeCell ref="B39:B40"/>
    <mergeCell ref="B20:B21"/>
    <mergeCell ref="J20:L20"/>
    <mergeCell ref="D20:D21"/>
    <mergeCell ref="C39:C40"/>
    <mergeCell ref="D39:D40"/>
    <mergeCell ref="E39:E40"/>
    <mergeCell ref="F39:F40"/>
  </mergeCells>
  <printOptions/>
  <pageMargins left="0.15748031496062992" right="0.1968503937007874" top="0.31496062992125984" bottom="0.2755905511811024" header="0.15748031496062992" footer="0.15748031496062992"/>
  <pageSetup fitToHeight="2" horizontalDpi="600" verticalDpi="600" orientation="landscape" paperSize="9" scale="35" r:id="rId2"/>
  <headerFooter>
    <oddHeader>&amp;LДействителен с 02.08.2012</oddHeader>
    <oddFooter>&amp;C&amp;F&amp;A&amp;R&amp;D</oddFooter>
  </headerFooter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F113"/>
  <sheetViews>
    <sheetView zoomScale="66" zoomScaleNormal="66" zoomScaleSheetLayoutView="75" zoomScalePageLayoutView="0" workbookViewId="0" topLeftCell="A98">
      <selection activeCell="C1" sqref="C1:F3"/>
    </sheetView>
  </sheetViews>
  <sheetFormatPr defaultColWidth="9.00390625" defaultRowHeight="12.75"/>
  <cols>
    <col min="1" max="1" width="16.625" style="43" customWidth="1"/>
    <col min="2" max="2" width="51.25390625" style="284" customWidth="1"/>
    <col min="3" max="3" width="25.25390625" style="284" customWidth="1"/>
    <col min="4" max="4" width="23.00390625" style="286" customWidth="1"/>
    <col min="5" max="5" width="15.125" style="287" customWidth="1"/>
    <col min="6" max="6" width="10.25390625" style="287" hidden="1" customWidth="1"/>
    <col min="7" max="7" width="19.625" style="287" customWidth="1"/>
    <col min="8" max="8" width="13.125" style="512" customWidth="1"/>
    <col min="9" max="9" width="2.25390625" style="512" customWidth="1"/>
    <col min="10" max="10" width="13.125" style="512" customWidth="1"/>
    <col min="11" max="11" width="12.25390625" style="512" customWidth="1"/>
    <col min="12" max="12" width="2.25390625" style="512" customWidth="1"/>
    <col min="13" max="13" width="15.625" style="512" customWidth="1"/>
    <col min="14" max="14" width="13.25390625" style="512" customWidth="1"/>
    <col min="15" max="15" width="2.25390625" style="512" customWidth="1"/>
    <col min="16" max="16" width="15.625" style="512" customWidth="1"/>
    <col min="17" max="17" width="12.25390625" style="512" customWidth="1"/>
    <col min="18" max="18" width="2.25390625" style="512" customWidth="1"/>
    <col min="19" max="19" width="15.625" style="512" customWidth="1"/>
    <col min="20" max="20" width="9.125" style="43" customWidth="1"/>
    <col min="21" max="24" width="9.125" style="43" hidden="1" customWidth="1"/>
    <col min="25" max="34" width="0" style="43" hidden="1" customWidth="1"/>
    <col min="35" max="16384" width="9.125" style="43" customWidth="1"/>
  </cols>
  <sheetData>
    <row r="1" spans="1:19" s="8" customFormat="1" ht="19.5" customHeight="1">
      <c r="A1" s="7"/>
      <c r="B1" s="81"/>
      <c r="C1" s="2239" t="s">
        <v>1241</v>
      </c>
      <c r="D1" s="2239"/>
      <c r="E1" s="2239"/>
      <c r="F1" s="2239"/>
      <c r="G1" s="89"/>
      <c r="H1" s="89"/>
      <c r="I1" s="89"/>
      <c r="J1" s="89"/>
      <c r="K1" s="89"/>
      <c r="L1" s="89"/>
      <c r="M1" s="70"/>
      <c r="N1" s="2232"/>
      <c r="O1" s="2232"/>
      <c r="P1" s="2232"/>
      <c r="Q1" s="70"/>
      <c r="R1" s="511"/>
      <c r="S1" s="171"/>
    </row>
    <row r="2" spans="1:19" s="8" customFormat="1" ht="20.25" customHeight="1">
      <c r="A2" s="7"/>
      <c r="B2" s="9"/>
      <c r="C2" s="2239"/>
      <c r="D2" s="2239"/>
      <c r="E2" s="2239"/>
      <c r="F2" s="2239"/>
      <c r="G2" s="90"/>
      <c r="H2" s="90"/>
      <c r="I2" s="90"/>
      <c r="J2" s="90"/>
      <c r="K2" s="90"/>
      <c r="L2" s="90"/>
      <c r="M2" s="511"/>
      <c r="N2" s="2233"/>
      <c r="O2" s="2233"/>
      <c r="P2" s="2233"/>
      <c r="Q2" s="511"/>
      <c r="R2" s="511"/>
      <c r="S2" s="171"/>
    </row>
    <row r="3" spans="1:19" s="8" customFormat="1" ht="18.75">
      <c r="A3" s="7"/>
      <c r="B3" s="81"/>
      <c r="C3" s="2239"/>
      <c r="D3" s="2239"/>
      <c r="E3" s="2239"/>
      <c r="F3" s="2239"/>
      <c r="G3" s="2238"/>
      <c r="H3" s="2238"/>
      <c r="I3" s="2238"/>
      <c r="J3" s="2238"/>
      <c r="K3" s="2238"/>
      <c r="L3" s="2238"/>
      <c r="M3" s="511"/>
      <c r="N3" s="2233"/>
      <c r="O3" s="2233"/>
      <c r="P3" s="2233"/>
      <c r="Q3" s="511"/>
      <c r="R3" s="511"/>
      <c r="S3" s="171"/>
    </row>
    <row r="4" spans="1:19" ht="21" thickBot="1">
      <c r="A4" s="1712" t="s">
        <v>18</v>
      </c>
      <c r="B4" s="1712"/>
      <c r="C4" s="1712"/>
      <c r="D4" s="1712"/>
      <c r="E4" s="1712"/>
      <c r="F4" s="1712"/>
      <c r="G4" s="1712"/>
      <c r="H4" s="1712"/>
      <c r="I4" s="1712"/>
      <c r="J4" s="1712"/>
      <c r="K4" s="2237"/>
      <c r="L4" s="2237"/>
      <c r="M4" s="2237"/>
      <c r="N4" s="2237"/>
      <c r="O4" s="2237"/>
      <c r="P4" s="2237"/>
      <c r="Q4" s="2237"/>
      <c r="R4" s="2237"/>
      <c r="S4" s="2237"/>
    </row>
    <row r="5" spans="1:19" ht="14.25" customHeight="1">
      <c r="A5" s="1699" t="s">
        <v>0</v>
      </c>
      <c r="B5" s="1702" t="s">
        <v>1</v>
      </c>
      <c r="C5" s="1694" t="s">
        <v>75</v>
      </c>
      <c r="D5" s="1694" t="s">
        <v>57</v>
      </c>
      <c r="E5" s="1703" t="s">
        <v>19</v>
      </c>
      <c r="F5" s="4" t="s">
        <v>206</v>
      </c>
      <c r="G5" s="1717" t="s">
        <v>20</v>
      </c>
      <c r="H5" s="2268" t="s">
        <v>1239</v>
      </c>
      <c r="I5" s="2269"/>
      <c r="J5" s="2270"/>
      <c r="K5" s="2265"/>
      <c r="L5" s="2256"/>
      <c r="M5" s="2256"/>
      <c r="N5" s="2256"/>
      <c r="O5" s="2256"/>
      <c r="P5" s="2256"/>
      <c r="Q5" s="2256"/>
      <c r="R5" s="2256"/>
      <c r="S5" s="2256"/>
    </row>
    <row r="6" spans="1:19" ht="14.25" customHeight="1">
      <c r="A6" s="1700"/>
      <c r="B6" s="1695"/>
      <c r="C6" s="1695"/>
      <c r="D6" s="1715"/>
      <c r="E6" s="1704"/>
      <c r="F6" s="5"/>
      <c r="G6" s="1718"/>
      <c r="H6" s="2271"/>
      <c r="I6" s="2272"/>
      <c r="J6" s="2273"/>
      <c r="K6" s="2266"/>
      <c r="L6" s="2257"/>
      <c r="M6" s="2257"/>
      <c r="N6" s="2257"/>
      <c r="O6" s="2257"/>
      <c r="P6" s="2257"/>
      <c r="Q6" s="2257"/>
      <c r="R6" s="2257"/>
      <c r="S6" s="2257"/>
    </row>
    <row r="7" spans="1:19" ht="13.5" thickBot="1">
      <c r="A7" s="1701"/>
      <c r="B7" s="1696"/>
      <c r="C7" s="1696"/>
      <c r="D7" s="1716"/>
      <c r="E7" s="1705"/>
      <c r="F7" s="6"/>
      <c r="G7" s="1719"/>
      <c r="H7" s="249" t="s">
        <v>2</v>
      </c>
      <c r="I7" s="250" t="s">
        <v>3</v>
      </c>
      <c r="J7" s="2240" t="s">
        <v>4</v>
      </c>
      <c r="K7" s="2267"/>
      <c r="L7" s="2258"/>
      <c r="M7" s="2259"/>
      <c r="N7" s="2260"/>
      <c r="O7" s="2258"/>
      <c r="P7" s="2259"/>
      <c r="Q7" s="2260"/>
      <c r="R7" s="2258"/>
      <c r="S7" s="2259"/>
    </row>
    <row r="8" spans="1:24" s="844" customFormat="1" ht="36" customHeight="1">
      <c r="A8" s="86" t="s">
        <v>1085</v>
      </c>
      <c r="B8" s="133" t="s">
        <v>828</v>
      </c>
      <c r="C8" s="135" t="s">
        <v>77</v>
      </c>
      <c r="D8" s="134" t="s">
        <v>195</v>
      </c>
      <c r="E8" s="135" t="s">
        <v>59</v>
      </c>
      <c r="F8" s="134">
        <v>390</v>
      </c>
      <c r="G8" s="1095" t="s">
        <v>196</v>
      </c>
      <c r="H8" s="948">
        <f aca="true" t="shared" si="0" ref="H8:H14">U8*1.12*1.045*1.05</f>
        <v>4817.3664</v>
      </c>
      <c r="I8" s="949" t="s">
        <v>3</v>
      </c>
      <c r="J8" s="2241">
        <f>H8/400</f>
        <v>12.043416</v>
      </c>
      <c r="K8" s="2106"/>
      <c r="L8" s="2235"/>
      <c r="M8" s="2243"/>
      <c r="N8" s="266"/>
      <c r="O8" s="2235"/>
      <c r="P8" s="2243"/>
      <c r="Q8" s="266"/>
      <c r="R8" s="2235"/>
      <c r="S8" s="2243"/>
      <c r="T8" s="136"/>
      <c r="U8" s="844">
        <v>3920</v>
      </c>
      <c r="V8" s="844">
        <v>3520</v>
      </c>
      <c r="W8" s="844">
        <v>3100</v>
      </c>
      <c r="X8" s="844">
        <v>2800</v>
      </c>
    </row>
    <row r="9" spans="1:24" s="844" customFormat="1" ht="36" customHeight="1">
      <c r="A9" s="296" t="s">
        <v>1086</v>
      </c>
      <c r="B9" s="1096" t="s">
        <v>688</v>
      </c>
      <c r="C9" s="1097" t="s">
        <v>77</v>
      </c>
      <c r="D9" s="1098" t="s">
        <v>195</v>
      </c>
      <c r="E9" s="1097" t="s">
        <v>689</v>
      </c>
      <c r="F9" s="1099">
        <v>400</v>
      </c>
      <c r="G9" s="1100" t="s">
        <v>196</v>
      </c>
      <c r="H9" s="363">
        <f t="shared" si="0"/>
        <v>5653.032</v>
      </c>
      <c r="I9" s="151" t="s">
        <v>3</v>
      </c>
      <c r="J9" s="2242">
        <f>H9/400</f>
        <v>14.13258</v>
      </c>
      <c r="K9" s="2106"/>
      <c r="L9" s="2235"/>
      <c r="M9" s="2243"/>
      <c r="N9" s="266"/>
      <c r="O9" s="2235"/>
      <c r="P9" s="2243"/>
      <c r="Q9" s="266"/>
      <c r="R9" s="2235"/>
      <c r="S9" s="2243"/>
      <c r="T9" s="136"/>
      <c r="U9" s="844">
        <v>4600</v>
      </c>
      <c r="V9" s="844">
        <v>4200</v>
      </c>
      <c r="W9" s="844">
        <v>3960</v>
      </c>
      <c r="X9" s="844">
        <v>3600</v>
      </c>
    </row>
    <row r="10" spans="1:24" s="844" customFormat="1" ht="36" customHeight="1">
      <c r="A10" s="85" t="s">
        <v>1087</v>
      </c>
      <c r="B10" s="1096" t="s">
        <v>1015</v>
      </c>
      <c r="C10" s="1097" t="s">
        <v>77</v>
      </c>
      <c r="D10" s="1098" t="s">
        <v>1016</v>
      </c>
      <c r="E10" s="1097" t="s">
        <v>691</v>
      </c>
      <c r="F10" s="1099">
        <v>400</v>
      </c>
      <c r="G10" s="1099" t="s">
        <v>196</v>
      </c>
      <c r="H10" s="363">
        <f t="shared" si="0"/>
        <v>8356.656</v>
      </c>
      <c r="I10" s="151" t="s">
        <v>3</v>
      </c>
      <c r="J10" s="2242">
        <f>H10/400</f>
        <v>20.891640000000002</v>
      </c>
      <c r="K10" s="2106"/>
      <c r="L10" s="2235"/>
      <c r="M10" s="2243"/>
      <c r="N10" s="266"/>
      <c r="O10" s="2235"/>
      <c r="P10" s="2243"/>
      <c r="Q10" s="266"/>
      <c r="R10" s="2235"/>
      <c r="S10" s="2243"/>
      <c r="T10" s="136"/>
      <c r="U10" s="844">
        <v>6800</v>
      </c>
      <c r="V10" s="844">
        <v>6000</v>
      </c>
      <c r="W10" s="844">
        <v>5600</v>
      </c>
      <c r="X10" s="844">
        <v>4800</v>
      </c>
    </row>
    <row r="11" spans="1:24" s="1058" customFormat="1" ht="36" customHeight="1" thickBot="1">
      <c r="A11" s="88" t="s">
        <v>1088</v>
      </c>
      <c r="B11" s="1101" t="s">
        <v>690</v>
      </c>
      <c r="C11" s="470" t="s">
        <v>77</v>
      </c>
      <c r="D11" s="1102" t="s">
        <v>195</v>
      </c>
      <c r="E11" s="1103" t="s">
        <v>691</v>
      </c>
      <c r="F11" s="583">
        <v>150</v>
      </c>
      <c r="G11" s="1104" t="s">
        <v>331</v>
      </c>
      <c r="H11" s="522">
        <f t="shared" si="0"/>
        <v>4371.268440000001</v>
      </c>
      <c r="I11" s="523" t="s">
        <v>3</v>
      </c>
      <c r="J11" s="2243">
        <f>H11/150</f>
        <v>29.141789600000006</v>
      </c>
      <c r="K11" s="2106"/>
      <c r="L11" s="2235"/>
      <c r="M11" s="2243"/>
      <c r="N11" s="266"/>
      <c r="O11" s="2235"/>
      <c r="P11" s="2243"/>
      <c r="Q11" s="266"/>
      <c r="R11" s="2235"/>
      <c r="S11" s="2243"/>
      <c r="T11" s="1179"/>
      <c r="U11" s="1058">
        <v>3557</v>
      </c>
      <c r="V11" s="1058">
        <v>3248</v>
      </c>
      <c r="W11" s="1058">
        <v>3055</v>
      </c>
      <c r="X11" s="1058">
        <v>2930</v>
      </c>
    </row>
    <row r="12" spans="1:24" s="1058" customFormat="1" ht="36" customHeight="1">
      <c r="A12" s="1105" t="s">
        <v>1007</v>
      </c>
      <c r="B12" s="1106" t="s">
        <v>1008</v>
      </c>
      <c r="C12" s="794" t="s">
        <v>77</v>
      </c>
      <c r="D12" s="574" t="s">
        <v>1016</v>
      </c>
      <c r="E12" s="794" t="s">
        <v>1059</v>
      </c>
      <c r="F12" s="1107" t="s">
        <v>1009</v>
      </c>
      <c r="G12" s="1108" t="s">
        <v>674</v>
      </c>
      <c r="H12" s="948">
        <f t="shared" si="0"/>
        <v>4424.112000000001</v>
      </c>
      <c r="I12" s="949" t="s">
        <v>3</v>
      </c>
      <c r="J12" s="2241">
        <f>H12/200</f>
        <v>22.120560000000005</v>
      </c>
      <c r="K12" s="2106"/>
      <c r="L12" s="2235"/>
      <c r="M12" s="2243"/>
      <c r="N12" s="266"/>
      <c r="O12" s="2235"/>
      <c r="P12" s="2243"/>
      <c r="Q12" s="266"/>
      <c r="R12" s="2235"/>
      <c r="S12" s="2243"/>
      <c r="T12" s="1179"/>
      <c r="U12" s="1058">
        <v>3600</v>
      </c>
      <c r="V12" s="1058">
        <v>3200</v>
      </c>
      <c r="W12" s="1058">
        <v>2900</v>
      </c>
      <c r="X12" s="1058">
        <v>2600</v>
      </c>
    </row>
    <row r="13" spans="1:24" s="1058" customFormat="1" ht="36" customHeight="1">
      <c r="A13" s="1109" t="s">
        <v>1010</v>
      </c>
      <c r="B13" s="1110" t="s">
        <v>1011</v>
      </c>
      <c r="C13" s="1111" t="s">
        <v>1012</v>
      </c>
      <c r="D13" s="1098" t="s">
        <v>1016</v>
      </c>
      <c r="E13" s="1111" t="s">
        <v>1060</v>
      </c>
      <c r="F13" s="485" t="s">
        <v>1009</v>
      </c>
      <c r="G13" s="463" t="s">
        <v>674</v>
      </c>
      <c r="H13" s="363">
        <f t="shared" si="0"/>
        <v>6144.600000000001</v>
      </c>
      <c r="I13" s="151" t="s">
        <v>3</v>
      </c>
      <c r="J13" s="2242">
        <f>H13/200</f>
        <v>30.723000000000006</v>
      </c>
      <c r="K13" s="2106"/>
      <c r="L13" s="2235"/>
      <c r="M13" s="2243"/>
      <c r="N13" s="266"/>
      <c r="O13" s="2235"/>
      <c r="P13" s="2243"/>
      <c r="Q13" s="266"/>
      <c r="R13" s="2235"/>
      <c r="S13" s="2243"/>
      <c r="T13" s="1179"/>
      <c r="U13" s="1058">
        <v>5000</v>
      </c>
      <c r="V13" s="1058">
        <v>4400</v>
      </c>
      <c r="W13" s="1058">
        <v>3900</v>
      </c>
      <c r="X13" s="1058">
        <v>3500</v>
      </c>
    </row>
    <row r="14" spans="1:24" s="1058" customFormat="1" ht="36" customHeight="1" thickBot="1">
      <c r="A14" s="1112" t="s">
        <v>1013</v>
      </c>
      <c r="B14" s="1113" t="s">
        <v>1011</v>
      </c>
      <c r="C14" s="1114" t="s">
        <v>1012</v>
      </c>
      <c r="D14" s="1102" t="s">
        <v>195</v>
      </c>
      <c r="E14" s="1114" t="s">
        <v>1060</v>
      </c>
      <c r="F14" s="1115" t="s">
        <v>1014</v>
      </c>
      <c r="G14" s="1116" t="s">
        <v>136</v>
      </c>
      <c r="H14" s="365">
        <f t="shared" si="0"/>
        <v>3318.0840000000007</v>
      </c>
      <c r="I14" s="298" t="s">
        <v>3</v>
      </c>
      <c r="J14" s="1049">
        <f>H14/100</f>
        <v>33.18084000000001</v>
      </c>
      <c r="K14" s="2106"/>
      <c r="L14" s="2235"/>
      <c r="M14" s="2243"/>
      <c r="N14" s="266"/>
      <c r="O14" s="2235"/>
      <c r="P14" s="2243"/>
      <c r="Q14" s="266"/>
      <c r="R14" s="2235"/>
      <c r="S14" s="2243"/>
      <c r="T14" s="1179"/>
      <c r="U14" s="1058">
        <v>2700</v>
      </c>
      <c r="V14" s="1058">
        <v>2400</v>
      </c>
      <c r="W14" s="1058">
        <v>2100</v>
      </c>
      <c r="X14" s="1058">
        <v>1900</v>
      </c>
    </row>
    <row r="15" spans="1:19" s="136" customFormat="1" ht="30" customHeight="1">
      <c r="A15" s="87" t="s">
        <v>301</v>
      </c>
      <c r="B15" s="139" t="s">
        <v>187</v>
      </c>
      <c r="C15" s="297" t="s">
        <v>178</v>
      </c>
      <c r="D15" s="141" t="s">
        <v>58</v>
      </c>
      <c r="E15" s="140" t="s">
        <v>34</v>
      </c>
      <c r="F15" s="141">
        <v>20</v>
      </c>
      <c r="G15" s="141" t="s">
        <v>36</v>
      </c>
      <c r="H15" s="432">
        <f>1467*1.05*1.05*1.1</f>
        <v>1779.1042500000005</v>
      </c>
      <c r="I15" s="149" t="s">
        <v>3</v>
      </c>
      <c r="J15" s="797">
        <f>H15/20</f>
        <v>88.95521250000003</v>
      </c>
      <c r="K15" s="2106"/>
      <c r="L15" s="2235"/>
      <c r="M15" s="2243"/>
      <c r="N15" s="266"/>
      <c r="O15" s="2235"/>
      <c r="P15" s="2243"/>
      <c r="Q15" s="266"/>
      <c r="R15" s="2235"/>
      <c r="S15" s="2243"/>
    </row>
    <row r="16" spans="1:19" s="136" customFormat="1" ht="30" customHeight="1">
      <c r="A16" s="458" t="s">
        <v>302</v>
      </c>
      <c r="B16" s="459" t="s">
        <v>186</v>
      </c>
      <c r="C16" s="460" t="s">
        <v>178</v>
      </c>
      <c r="D16" s="461" t="s">
        <v>58</v>
      </c>
      <c r="E16" s="460" t="s">
        <v>56</v>
      </c>
      <c r="F16" s="461">
        <v>50</v>
      </c>
      <c r="G16" s="461" t="s">
        <v>21</v>
      </c>
      <c r="H16" s="522">
        <f>1824*1.05*1.05*1.1</f>
        <v>2212.056</v>
      </c>
      <c r="I16" s="523" t="s">
        <v>3</v>
      </c>
      <c r="J16" s="2244">
        <f>H16/50</f>
        <v>44.24112</v>
      </c>
      <c r="K16" s="2106"/>
      <c r="L16" s="2235"/>
      <c r="M16" s="2243"/>
      <c r="N16" s="266"/>
      <c r="O16" s="2235"/>
      <c r="P16" s="2243"/>
      <c r="Q16" s="266"/>
      <c r="R16" s="2235"/>
      <c r="S16" s="2243"/>
    </row>
    <row r="17" spans="1:19" s="368" customFormat="1" ht="24.75" customHeight="1">
      <c r="A17" s="1239" t="s">
        <v>773</v>
      </c>
      <c r="B17" s="1240" t="s">
        <v>186</v>
      </c>
      <c r="C17" s="465" t="s">
        <v>178</v>
      </c>
      <c r="D17" s="466" t="s">
        <v>58</v>
      </c>
      <c r="E17" s="1241" t="s">
        <v>56</v>
      </c>
      <c r="F17" s="1099"/>
      <c r="G17" s="467" t="s">
        <v>774</v>
      </c>
      <c r="H17" s="363">
        <f>2189*1.05*1.05*1.1</f>
        <v>2654.7097500000004</v>
      </c>
      <c r="I17" s="151" t="s">
        <v>3</v>
      </c>
      <c r="J17" s="2245">
        <f>H17/60</f>
        <v>44.245162500000006</v>
      </c>
      <c r="K17" s="2106"/>
      <c r="L17" s="2235"/>
      <c r="M17" s="2243"/>
      <c r="N17" s="266"/>
      <c r="O17" s="2235"/>
      <c r="P17" s="2243"/>
      <c r="Q17" s="266"/>
      <c r="R17" s="2235"/>
      <c r="S17" s="2243"/>
    </row>
    <row r="18" spans="1:24" s="703" customFormat="1" ht="24.75" customHeight="1">
      <c r="A18" s="1330" t="s">
        <v>883</v>
      </c>
      <c r="B18" s="1331" t="s">
        <v>884</v>
      </c>
      <c r="C18" s="1097" t="s">
        <v>178</v>
      </c>
      <c r="D18" s="1099" t="s">
        <v>58</v>
      </c>
      <c r="E18" s="1111" t="s">
        <v>885</v>
      </c>
      <c r="F18" s="1099"/>
      <c r="G18" s="1100" t="s">
        <v>886</v>
      </c>
      <c r="H18" s="432">
        <f aca="true" t="shared" si="1" ref="H18:H23">U18*1.05*1.05*1.1</f>
        <v>3638.2500000000005</v>
      </c>
      <c r="I18" s="149" t="s">
        <v>3</v>
      </c>
      <c r="J18" s="797">
        <f>H18/75</f>
        <v>48.510000000000005</v>
      </c>
      <c r="K18" s="2106"/>
      <c r="L18" s="2235"/>
      <c r="M18" s="2243"/>
      <c r="N18" s="266"/>
      <c r="O18" s="2235"/>
      <c r="P18" s="2243"/>
      <c r="Q18" s="266"/>
      <c r="R18" s="2235"/>
      <c r="S18" s="2243"/>
      <c r="U18" s="703">
        <v>3000</v>
      </c>
      <c r="V18" s="703">
        <v>2850</v>
      </c>
      <c r="W18" s="703">
        <v>2700</v>
      </c>
      <c r="X18" s="703">
        <v>2550</v>
      </c>
    </row>
    <row r="19" spans="1:24" s="703" customFormat="1" ht="24.75" customHeight="1" thickBot="1">
      <c r="A19" s="1332" t="s">
        <v>887</v>
      </c>
      <c r="B19" s="1333" t="s">
        <v>884</v>
      </c>
      <c r="C19" s="465" t="s">
        <v>178</v>
      </c>
      <c r="D19" s="466" t="s">
        <v>58</v>
      </c>
      <c r="E19" s="1111" t="s">
        <v>885</v>
      </c>
      <c r="F19" s="1099"/>
      <c r="G19" s="467" t="s">
        <v>888</v>
      </c>
      <c r="H19" s="363">
        <f t="shared" si="1"/>
        <v>4365.900000000001</v>
      </c>
      <c r="I19" s="298" t="s">
        <v>3</v>
      </c>
      <c r="J19" s="2246">
        <f>H19/90</f>
        <v>48.510000000000005</v>
      </c>
      <c r="K19" s="2106"/>
      <c r="L19" s="2235"/>
      <c r="M19" s="2243"/>
      <c r="N19" s="266"/>
      <c r="O19" s="2235"/>
      <c r="P19" s="2243"/>
      <c r="Q19" s="266"/>
      <c r="R19" s="2235"/>
      <c r="S19" s="2243"/>
      <c r="U19" s="703">
        <v>3600</v>
      </c>
      <c r="V19" s="703">
        <v>3420</v>
      </c>
      <c r="W19" s="703">
        <v>3240</v>
      </c>
      <c r="X19" s="703">
        <v>3060</v>
      </c>
    </row>
    <row r="20" spans="1:24" s="844" customFormat="1" ht="30" customHeight="1">
      <c r="A20" s="86" t="s">
        <v>443</v>
      </c>
      <c r="B20" s="133" t="s">
        <v>193</v>
      </c>
      <c r="C20" s="135" t="s">
        <v>178</v>
      </c>
      <c r="D20" s="134" t="s">
        <v>58</v>
      </c>
      <c r="E20" s="135" t="s">
        <v>192</v>
      </c>
      <c r="F20" s="134">
        <v>25</v>
      </c>
      <c r="G20" s="134" t="s">
        <v>197</v>
      </c>
      <c r="H20" s="948">
        <f t="shared" si="1"/>
        <v>1619.0212500000002</v>
      </c>
      <c r="I20" s="949" t="s">
        <v>3</v>
      </c>
      <c r="J20" s="2247">
        <f>H20/25</f>
        <v>64.76085</v>
      </c>
      <c r="K20" s="2106"/>
      <c r="L20" s="2235"/>
      <c r="M20" s="2243"/>
      <c r="N20" s="266"/>
      <c r="O20" s="2235"/>
      <c r="P20" s="2243"/>
      <c r="Q20" s="266"/>
      <c r="R20" s="2235"/>
      <c r="S20" s="2243"/>
      <c r="T20" s="136"/>
      <c r="U20" s="844">
        <v>1335</v>
      </c>
      <c r="V20" s="844">
        <v>1281</v>
      </c>
      <c r="W20" s="844">
        <v>1255</v>
      </c>
      <c r="X20" s="844">
        <v>1221</v>
      </c>
    </row>
    <row r="21" spans="1:24" s="844" customFormat="1" ht="30" customHeight="1">
      <c r="A21" s="87" t="s">
        <v>303</v>
      </c>
      <c r="B21" s="139" t="s">
        <v>193</v>
      </c>
      <c r="C21" s="138" t="s">
        <v>178</v>
      </c>
      <c r="D21" s="137" t="s">
        <v>58</v>
      </c>
      <c r="E21" s="140" t="s">
        <v>192</v>
      </c>
      <c r="F21" s="141">
        <v>37.5</v>
      </c>
      <c r="G21" s="137" t="s">
        <v>194</v>
      </c>
      <c r="H21" s="363">
        <f t="shared" si="1"/>
        <v>2427.9255000000003</v>
      </c>
      <c r="I21" s="151" t="s">
        <v>3</v>
      </c>
      <c r="J21" s="2245">
        <f>H21/37.5</f>
        <v>64.74468</v>
      </c>
      <c r="K21" s="2106"/>
      <c r="L21" s="2235"/>
      <c r="M21" s="2243"/>
      <c r="N21" s="266"/>
      <c r="O21" s="2235"/>
      <c r="P21" s="2243"/>
      <c r="Q21" s="266"/>
      <c r="R21" s="2235"/>
      <c r="S21" s="2243"/>
      <c r="T21" s="136"/>
      <c r="U21" s="844">
        <v>2002</v>
      </c>
      <c r="V21" s="844">
        <v>1921</v>
      </c>
      <c r="W21" s="844">
        <v>1883</v>
      </c>
      <c r="X21" s="844">
        <v>1831</v>
      </c>
    </row>
    <row r="22" spans="1:24" s="844" customFormat="1" ht="30" customHeight="1">
      <c r="A22" s="85" t="s">
        <v>304</v>
      </c>
      <c r="B22" s="457" t="s">
        <v>193</v>
      </c>
      <c r="C22" s="138" t="s">
        <v>178</v>
      </c>
      <c r="D22" s="137" t="s">
        <v>58</v>
      </c>
      <c r="E22" s="138" t="s">
        <v>192</v>
      </c>
      <c r="F22" s="137">
        <v>50</v>
      </c>
      <c r="G22" s="141" t="s">
        <v>135</v>
      </c>
      <c r="H22" s="432">
        <f t="shared" si="1"/>
        <v>3082.8105</v>
      </c>
      <c r="I22" s="149" t="s">
        <v>3</v>
      </c>
      <c r="J22" s="797">
        <f>H22/50</f>
        <v>61.65621</v>
      </c>
      <c r="K22" s="2106"/>
      <c r="L22" s="2235"/>
      <c r="M22" s="2243"/>
      <c r="N22" s="266"/>
      <c r="O22" s="2235"/>
      <c r="P22" s="2243"/>
      <c r="Q22" s="266"/>
      <c r="R22" s="2235"/>
      <c r="S22" s="2243"/>
      <c r="T22" s="136"/>
      <c r="U22" s="844">
        <v>2542</v>
      </c>
      <c r="V22" s="844">
        <v>2441</v>
      </c>
      <c r="W22" s="844">
        <v>2391</v>
      </c>
      <c r="X22" s="844">
        <v>2326</v>
      </c>
    </row>
    <row r="23" spans="1:24" s="844" customFormat="1" ht="30" customHeight="1" thickBot="1">
      <c r="A23" s="88" t="s">
        <v>511</v>
      </c>
      <c r="B23" s="1180" t="s">
        <v>512</v>
      </c>
      <c r="C23" s="147" t="s">
        <v>178</v>
      </c>
      <c r="D23" s="142" t="s">
        <v>58</v>
      </c>
      <c r="E23" s="147" t="s">
        <v>513</v>
      </c>
      <c r="F23" s="142">
        <v>65</v>
      </c>
      <c r="G23" s="1181" t="s">
        <v>514</v>
      </c>
      <c r="H23" s="432">
        <f t="shared" si="1"/>
        <v>3683.1217500000002</v>
      </c>
      <c r="I23" s="149" t="s">
        <v>3</v>
      </c>
      <c r="J23" s="797">
        <f>H23/65</f>
        <v>56.663411538461546</v>
      </c>
      <c r="K23" s="2106"/>
      <c r="L23" s="2235"/>
      <c r="M23" s="2243"/>
      <c r="N23" s="266"/>
      <c r="O23" s="2235"/>
      <c r="P23" s="2243"/>
      <c r="Q23" s="266"/>
      <c r="R23" s="2235"/>
      <c r="S23" s="2243"/>
      <c r="T23" s="136"/>
      <c r="U23" s="844">
        <v>3037</v>
      </c>
      <c r="V23" s="844">
        <v>2975</v>
      </c>
      <c r="W23" s="844">
        <v>2887</v>
      </c>
      <c r="X23" s="844">
        <v>2798</v>
      </c>
    </row>
    <row r="24" spans="1:24" s="976" customFormat="1" ht="30" customHeight="1">
      <c r="A24" s="87" t="s">
        <v>305</v>
      </c>
      <c r="B24" s="139" t="s">
        <v>64</v>
      </c>
      <c r="C24" s="140" t="s">
        <v>76</v>
      </c>
      <c r="D24" s="141" t="s">
        <v>58</v>
      </c>
      <c r="E24" s="140" t="s">
        <v>53</v>
      </c>
      <c r="F24" s="141">
        <v>50</v>
      </c>
      <c r="G24" s="141" t="s">
        <v>66</v>
      </c>
      <c r="H24" s="948">
        <f>U24*1.12*1.05*1.1</f>
        <v>597.6432000000002</v>
      </c>
      <c r="I24" s="949" t="s">
        <v>3</v>
      </c>
      <c r="J24" s="2247">
        <f>H24/50</f>
        <v>11.952864000000003</v>
      </c>
      <c r="K24" s="2106"/>
      <c r="L24" s="2235"/>
      <c r="M24" s="2243"/>
      <c r="N24" s="266"/>
      <c r="O24" s="2235"/>
      <c r="P24" s="2243"/>
      <c r="Q24" s="266"/>
      <c r="R24" s="2235"/>
      <c r="S24" s="2243"/>
      <c r="T24" s="145"/>
      <c r="U24" s="977">
        <v>462</v>
      </c>
      <c r="V24" s="977">
        <v>438.9</v>
      </c>
      <c r="W24" s="977">
        <v>408.1</v>
      </c>
      <c r="X24" s="977">
        <v>385</v>
      </c>
    </row>
    <row r="25" spans="1:24" s="979" customFormat="1" ht="24" customHeight="1">
      <c r="A25" s="462" t="s">
        <v>615</v>
      </c>
      <c r="B25" s="1036" t="s">
        <v>64</v>
      </c>
      <c r="C25" s="1037" t="s">
        <v>76</v>
      </c>
      <c r="D25" s="1038" t="s">
        <v>58</v>
      </c>
      <c r="E25" s="1039" t="s">
        <v>53</v>
      </c>
      <c r="F25" s="1040">
        <v>40</v>
      </c>
      <c r="G25" s="463" t="s">
        <v>616</v>
      </c>
      <c r="H25" s="363">
        <f>U25*1.12*1.05*1.1</f>
        <v>583.9827840000002</v>
      </c>
      <c r="I25" s="152" t="s">
        <v>3</v>
      </c>
      <c r="J25" s="2242">
        <f>H25/40</f>
        <v>14.599569600000004</v>
      </c>
      <c r="K25" s="2106"/>
      <c r="L25" s="2235"/>
      <c r="M25" s="2243"/>
      <c r="N25" s="266"/>
      <c r="O25" s="2235"/>
      <c r="P25" s="2243"/>
      <c r="Q25" s="266"/>
      <c r="R25" s="2235"/>
      <c r="S25" s="2243"/>
      <c r="T25" s="1041"/>
      <c r="U25" s="978">
        <v>451.44</v>
      </c>
      <c r="V25" s="978">
        <v>428.86799999999994</v>
      </c>
      <c r="W25" s="978">
        <v>397.2672</v>
      </c>
      <c r="X25" s="978">
        <v>376.2</v>
      </c>
    </row>
    <row r="26" spans="1:24" s="979" customFormat="1" ht="24" customHeight="1" thickBot="1">
      <c r="A26" s="1042" t="s">
        <v>617</v>
      </c>
      <c r="B26" s="1043" t="s">
        <v>64</v>
      </c>
      <c r="C26" s="1044" t="s">
        <v>76</v>
      </c>
      <c r="D26" s="1045" t="s">
        <v>58</v>
      </c>
      <c r="E26" s="1046" t="s">
        <v>53</v>
      </c>
      <c r="F26" s="1047">
        <v>10</v>
      </c>
      <c r="G26" s="1048" t="s">
        <v>618</v>
      </c>
      <c r="H26" s="432">
        <f>U26*1.12*1.05*1.1</f>
        <v>189.538272</v>
      </c>
      <c r="I26" s="1049" t="s">
        <v>3</v>
      </c>
      <c r="J26" s="1049">
        <f>H26/10</f>
        <v>18.9538272</v>
      </c>
      <c r="K26" s="2106"/>
      <c r="L26" s="2243"/>
      <c r="M26" s="2243"/>
      <c r="N26" s="266"/>
      <c r="O26" s="2243"/>
      <c r="P26" s="2243"/>
      <c r="Q26" s="266"/>
      <c r="R26" s="2243"/>
      <c r="S26" s="2243"/>
      <c r="T26" s="1041"/>
      <c r="U26" s="980">
        <v>146.51999999999998</v>
      </c>
      <c r="V26" s="980">
        <v>139.194</v>
      </c>
      <c r="W26" s="980">
        <v>128.9376</v>
      </c>
      <c r="X26" s="980">
        <v>122.1</v>
      </c>
    </row>
    <row r="27" spans="1:24" s="976" customFormat="1" ht="30" customHeight="1">
      <c r="A27" s="87" t="s">
        <v>223</v>
      </c>
      <c r="B27" s="139" t="s">
        <v>224</v>
      </c>
      <c r="C27" s="140" t="s">
        <v>225</v>
      </c>
      <c r="D27" s="141" t="s">
        <v>58</v>
      </c>
      <c r="E27" s="140" t="s">
        <v>62</v>
      </c>
      <c r="F27" s="141">
        <v>30</v>
      </c>
      <c r="G27" s="141" t="s">
        <v>47</v>
      </c>
      <c r="H27" s="362">
        <f>U27*1.12*1.05*1.1</f>
        <v>493.7671200000001</v>
      </c>
      <c r="I27" s="307" t="s">
        <v>3</v>
      </c>
      <c r="J27" s="2248">
        <f>H27/30</f>
        <v>16.458904000000004</v>
      </c>
      <c r="K27" s="2106"/>
      <c r="L27" s="2235"/>
      <c r="M27" s="2243"/>
      <c r="N27" s="266"/>
      <c r="O27" s="2235"/>
      <c r="P27" s="2243"/>
      <c r="Q27" s="266"/>
      <c r="R27" s="2235"/>
      <c r="S27" s="2243"/>
      <c r="T27" s="145"/>
      <c r="U27" s="981">
        <v>381.7</v>
      </c>
      <c r="V27" s="981">
        <v>347.6</v>
      </c>
      <c r="W27" s="981">
        <v>308</v>
      </c>
      <c r="X27" s="982">
        <v>284.9</v>
      </c>
    </row>
    <row r="28" spans="1:24" s="976" customFormat="1" ht="30" customHeight="1" thickBot="1">
      <c r="A28" s="85" t="s">
        <v>226</v>
      </c>
      <c r="B28" s="457" t="s">
        <v>224</v>
      </c>
      <c r="C28" s="138" t="s">
        <v>225</v>
      </c>
      <c r="D28" s="138" t="s">
        <v>58</v>
      </c>
      <c r="E28" s="138" t="s">
        <v>63</v>
      </c>
      <c r="F28" s="137">
        <v>30</v>
      </c>
      <c r="G28" s="137" t="s">
        <v>47</v>
      </c>
      <c r="H28" s="363">
        <f>U28*1.12*1.05*1.1</f>
        <v>779.7820800000001</v>
      </c>
      <c r="I28" s="151" t="s">
        <v>3</v>
      </c>
      <c r="J28" s="2245">
        <f>H28/30</f>
        <v>25.992736</v>
      </c>
      <c r="K28" s="2106"/>
      <c r="L28" s="2235"/>
      <c r="M28" s="2243"/>
      <c r="N28" s="266"/>
      <c r="O28" s="2235"/>
      <c r="P28" s="2243"/>
      <c r="Q28" s="266"/>
      <c r="R28" s="2235"/>
      <c r="S28" s="2243"/>
      <c r="T28" s="145"/>
      <c r="U28" s="983">
        <v>602.8</v>
      </c>
      <c r="V28" s="983">
        <v>547.8</v>
      </c>
      <c r="W28" s="983">
        <v>481.8</v>
      </c>
      <c r="X28" s="984">
        <v>445.5</v>
      </c>
    </row>
    <row r="29" spans="1:19" s="145" customFormat="1" ht="30" customHeight="1">
      <c r="A29" s="87" t="s">
        <v>306</v>
      </c>
      <c r="B29" s="289" t="s">
        <v>179</v>
      </c>
      <c r="C29" s="140" t="s">
        <v>76</v>
      </c>
      <c r="D29" s="141" t="s">
        <v>58</v>
      </c>
      <c r="E29" s="140" t="s">
        <v>26</v>
      </c>
      <c r="F29" s="141">
        <v>60</v>
      </c>
      <c r="G29" s="141" t="s">
        <v>25</v>
      </c>
      <c r="H29" s="432">
        <f>6718*1.12*1.05*1.1</f>
        <v>8690.404800000002</v>
      </c>
      <c r="I29" s="149" t="s">
        <v>3</v>
      </c>
      <c r="J29" s="797">
        <f>H29/60</f>
        <v>144.84008000000003</v>
      </c>
      <c r="K29" s="2106"/>
      <c r="L29" s="2235"/>
      <c r="M29" s="2243"/>
      <c r="N29" s="266"/>
      <c r="O29" s="2235"/>
      <c r="P29" s="2243"/>
      <c r="Q29" s="266"/>
      <c r="R29" s="2235"/>
      <c r="S29" s="2243"/>
    </row>
    <row r="30" spans="1:19" s="145" customFormat="1" ht="30" customHeight="1" thickBot="1">
      <c r="A30" s="84" t="s">
        <v>307</v>
      </c>
      <c r="B30" s="146" t="s">
        <v>180</v>
      </c>
      <c r="C30" s="143" t="s">
        <v>76</v>
      </c>
      <c r="D30" s="144" t="s">
        <v>58</v>
      </c>
      <c r="E30" s="147" t="s">
        <v>128</v>
      </c>
      <c r="F30" s="142">
        <v>48.9</v>
      </c>
      <c r="G30" s="142" t="s">
        <v>129</v>
      </c>
      <c r="H30" s="365">
        <f>3270*1.12*1.05*1.1</f>
        <v>4230.072000000001</v>
      </c>
      <c r="I30" s="298" t="s">
        <v>3</v>
      </c>
      <c r="J30" s="2246">
        <f>H30/48.9</f>
        <v>86.50453987730064</v>
      </c>
      <c r="K30" s="2106"/>
      <c r="L30" s="2235"/>
      <c r="M30" s="2243"/>
      <c r="N30" s="266"/>
      <c r="O30" s="2235"/>
      <c r="P30" s="2243"/>
      <c r="Q30" s="266"/>
      <c r="R30" s="2235"/>
      <c r="S30" s="2243"/>
    </row>
    <row r="31" spans="1:19" s="156" customFormat="1" ht="28.5" customHeight="1">
      <c r="A31" s="153" t="s">
        <v>251</v>
      </c>
      <c r="B31" s="259" t="s">
        <v>248</v>
      </c>
      <c r="C31" s="154" t="s">
        <v>76</v>
      </c>
      <c r="D31" s="134" t="s">
        <v>58</v>
      </c>
      <c r="E31" s="584" t="s">
        <v>707</v>
      </c>
      <c r="F31" s="155">
        <v>60</v>
      </c>
      <c r="G31" s="246" t="s">
        <v>25</v>
      </c>
      <c r="H31" s="362">
        <f>3534*1.12*1.05*1.1</f>
        <v>4571.582400000001</v>
      </c>
      <c r="I31" s="307" t="s">
        <v>3</v>
      </c>
      <c r="J31" s="2249">
        <f>H31/60</f>
        <v>76.19304000000002</v>
      </c>
      <c r="K31" s="2106"/>
      <c r="L31" s="2235"/>
      <c r="M31" s="2261"/>
      <c r="N31" s="266"/>
      <c r="O31" s="2235"/>
      <c r="P31" s="2261"/>
      <c r="Q31" s="266"/>
      <c r="R31" s="2235"/>
      <c r="S31" s="2261"/>
    </row>
    <row r="32" spans="1:19" s="156" customFormat="1" ht="28.5" customHeight="1">
      <c r="A32" s="157" t="s">
        <v>250</v>
      </c>
      <c r="B32" s="158" t="s">
        <v>248</v>
      </c>
      <c r="C32" s="159" t="s">
        <v>76</v>
      </c>
      <c r="D32" s="141" t="s">
        <v>58</v>
      </c>
      <c r="E32" s="585" t="s">
        <v>756</v>
      </c>
      <c r="F32" s="160">
        <v>10</v>
      </c>
      <c r="G32" s="247" t="s">
        <v>92</v>
      </c>
      <c r="H32" s="363">
        <f>599*1.12*1.05*1.1</f>
        <v>774.8664000000001</v>
      </c>
      <c r="I32" s="151" t="s">
        <v>3</v>
      </c>
      <c r="J32" s="2250">
        <f>H32/10</f>
        <v>77.48664000000001</v>
      </c>
      <c r="K32" s="2106"/>
      <c r="L32" s="2235"/>
      <c r="M32" s="2261"/>
      <c r="N32" s="266"/>
      <c r="O32" s="2235"/>
      <c r="P32" s="2261"/>
      <c r="Q32" s="266"/>
      <c r="R32" s="2235"/>
      <c r="S32" s="2261"/>
    </row>
    <row r="33" spans="1:19" s="156" customFormat="1" ht="28.5" customHeight="1">
      <c r="A33" s="157" t="s">
        <v>249</v>
      </c>
      <c r="B33" s="158" t="s">
        <v>248</v>
      </c>
      <c r="C33" s="159" t="s">
        <v>76</v>
      </c>
      <c r="D33" s="141" t="s">
        <v>58</v>
      </c>
      <c r="E33" s="585" t="s">
        <v>756</v>
      </c>
      <c r="F33" s="160">
        <v>25</v>
      </c>
      <c r="G33" s="247" t="s">
        <v>197</v>
      </c>
      <c r="H33" s="363">
        <f>1498*1.12*1.05*1.1</f>
        <v>1937.8128000000006</v>
      </c>
      <c r="I33" s="151" t="s">
        <v>3</v>
      </c>
      <c r="J33" s="2250">
        <f>H33/25</f>
        <v>77.51251200000003</v>
      </c>
      <c r="K33" s="2106"/>
      <c r="L33" s="2235"/>
      <c r="M33" s="2261"/>
      <c r="N33" s="266"/>
      <c r="O33" s="2235"/>
      <c r="P33" s="2261"/>
      <c r="Q33" s="266"/>
      <c r="R33" s="2235"/>
      <c r="S33" s="2261"/>
    </row>
    <row r="34" spans="1:19" s="568" customFormat="1" ht="28.5" customHeight="1">
      <c r="A34" s="565" t="s">
        <v>754</v>
      </c>
      <c r="B34" s="158" t="s">
        <v>248</v>
      </c>
      <c r="C34" s="159" t="s">
        <v>76</v>
      </c>
      <c r="D34" s="141" t="s">
        <v>58</v>
      </c>
      <c r="E34" s="585" t="s">
        <v>756</v>
      </c>
      <c r="F34" s="566">
        <v>37.5</v>
      </c>
      <c r="G34" s="567" t="s">
        <v>194</v>
      </c>
      <c r="H34" s="363">
        <f>2246*1.12*1.05*1.1</f>
        <v>2905.425600000001</v>
      </c>
      <c r="I34" s="151" t="s">
        <v>3</v>
      </c>
      <c r="J34" s="2250">
        <f>H34/37.5</f>
        <v>77.47801600000003</v>
      </c>
      <c r="K34" s="2106"/>
      <c r="L34" s="2235"/>
      <c r="M34" s="2261"/>
      <c r="N34" s="266"/>
      <c r="O34" s="2235"/>
      <c r="P34" s="2261"/>
      <c r="Q34" s="266"/>
      <c r="R34" s="2235"/>
      <c r="S34" s="2261"/>
    </row>
    <row r="35" spans="1:19" s="568" customFormat="1" ht="33" customHeight="1" thickBot="1">
      <c r="A35" s="565" t="s">
        <v>755</v>
      </c>
      <c r="B35" s="158" t="s">
        <v>248</v>
      </c>
      <c r="C35" s="159" t="s">
        <v>76</v>
      </c>
      <c r="D35" s="141" t="s">
        <v>58</v>
      </c>
      <c r="E35" s="585" t="s">
        <v>756</v>
      </c>
      <c r="F35" s="566">
        <v>50</v>
      </c>
      <c r="G35" s="567" t="s">
        <v>135</v>
      </c>
      <c r="H35" s="365">
        <f>2995*1.12*1.05*1.1</f>
        <v>3874.3320000000012</v>
      </c>
      <c r="I35" s="298" t="s">
        <v>3</v>
      </c>
      <c r="J35" s="2251">
        <f>H35/50</f>
        <v>77.48664000000002</v>
      </c>
      <c r="K35" s="2106"/>
      <c r="L35" s="2235"/>
      <c r="M35" s="2261"/>
      <c r="N35" s="266"/>
      <c r="O35" s="2235"/>
      <c r="P35" s="2261"/>
      <c r="Q35" s="266"/>
      <c r="R35" s="2235"/>
      <c r="S35" s="2261"/>
    </row>
    <row r="36" spans="1:24" s="844" customFormat="1" ht="30" customHeight="1">
      <c r="A36" s="86" t="s">
        <v>229</v>
      </c>
      <c r="B36" s="1182" t="s">
        <v>182</v>
      </c>
      <c r="C36" s="135" t="s">
        <v>79</v>
      </c>
      <c r="D36" s="134" t="s">
        <v>58</v>
      </c>
      <c r="E36" s="135" t="s">
        <v>707</v>
      </c>
      <c r="F36" s="134">
        <v>20</v>
      </c>
      <c r="G36" s="134" t="s">
        <v>59</v>
      </c>
      <c r="H36" s="948">
        <f>U36*1.12*1.05*1.1</f>
        <v>2309.0760000000005</v>
      </c>
      <c r="I36" s="949" t="s">
        <v>3</v>
      </c>
      <c r="J36" s="2247">
        <f>H36/20</f>
        <v>115.45380000000003</v>
      </c>
      <c r="K36" s="2106"/>
      <c r="L36" s="2235"/>
      <c r="M36" s="2243"/>
      <c r="N36" s="266"/>
      <c r="O36" s="2235"/>
      <c r="P36" s="2243"/>
      <c r="Q36" s="266"/>
      <c r="R36" s="2235"/>
      <c r="S36" s="2243"/>
      <c r="T36" s="136"/>
      <c r="U36" s="844">
        <v>1785</v>
      </c>
      <c r="V36" s="844">
        <v>1551</v>
      </c>
      <c r="W36" s="844">
        <v>1481</v>
      </c>
      <c r="X36" s="844">
        <v>1439</v>
      </c>
    </row>
    <row r="37" spans="1:24" s="844" customFormat="1" ht="30" customHeight="1">
      <c r="A37" s="85" t="s">
        <v>230</v>
      </c>
      <c r="B37" s="1183" t="s">
        <v>183</v>
      </c>
      <c r="C37" s="138" t="s">
        <v>79</v>
      </c>
      <c r="D37" s="137" t="s">
        <v>58</v>
      </c>
      <c r="E37" s="138" t="s">
        <v>707</v>
      </c>
      <c r="F37" s="137">
        <v>50</v>
      </c>
      <c r="G37" s="137" t="s">
        <v>135</v>
      </c>
      <c r="H37" s="363">
        <f>U37*1.12*1.05*1.1</f>
        <v>5773.336800000001</v>
      </c>
      <c r="I37" s="151" t="s">
        <v>3</v>
      </c>
      <c r="J37" s="2245">
        <f>H37/50</f>
        <v>115.46673600000003</v>
      </c>
      <c r="K37" s="2106"/>
      <c r="L37" s="2235"/>
      <c r="M37" s="2243"/>
      <c r="N37" s="266"/>
      <c r="O37" s="2235"/>
      <c r="P37" s="2243"/>
      <c r="Q37" s="266"/>
      <c r="R37" s="2235"/>
      <c r="S37" s="2243"/>
      <c r="T37" s="136"/>
      <c r="U37" s="844">
        <v>4463</v>
      </c>
      <c r="V37" s="844">
        <v>3878</v>
      </c>
      <c r="W37" s="844">
        <v>3702</v>
      </c>
      <c r="X37" s="844">
        <v>3597</v>
      </c>
    </row>
    <row r="38" spans="1:24" s="844" customFormat="1" ht="30" customHeight="1">
      <c r="A38" s="87" t="s">
        <v>231</v>
      </c>
      <c r="B38" s="289" t="s">
        <v>182</v>
      </c>
      <c r="C38" s="140" t="s">
        <v>79</v>
      </c>
      <c r="D38" s="141" t="s">
        <v>58</v>
      </c>
      <c r="E38" s="138" t="s">
        <v>707</v>
      </c>
      <c r="F38" s="1184">
        <v>100</v>
      </c>
      <c r="G38" s="1184" t="s">
        <v>136</v>
      </c>
      <c r="H38" s="363">
        <f aca="true" t="shared" si="2" ref="H38:H43">U38*1.12*1.05*1.1</f>
        <v>11547.967200000003</v>
      </c>
      <c r="I38" s="151" t="s">
        <v>3</v>
      </c>
      <c r="J38" s="2245">
        <f>H38/100</f>
        <v>115.47967200000002</v>
      </c>
      <c r="K38" s="2106"/>
      <c r="L38" s="2235"/>
      <c r="M38" s="2243"/>
      <c r="N38" s="266"/>
      <c r="O38" s="2235"/>
      <c r="P38" s="2243"/>
      <c r="Q38" s="266"/>
      <c r="R38" s="2235"/>
      <c r="S38" s="2243"/>
      <c r="T38" s="136"/>
      <c r="U38" s="844">
        <v>8927</v>
      </c>
      <c r="V38" s="844">
        <v>7756</v>
      </c>
      <c r="W38" s="844">
        <v>7404</v>
      </c>
      <c r="X38" s="844">
        <v>7194</v>
      </c>
    </row>
    <row r="39" spans="1:24" s="844" customFormat="1" ht="30" customHeight="1" thickBot="1">
      <c r="A39" s="296" t="s">
        <v>232</v>
      </c>
      <c r="B39" s="1185" t="s">
        <v>183</v>
      </c>
      <c r="C39" s="460" t="s">
        <v>79</v>
      </c>
      <c r="D39" s="461" t="s">
        <v>58</v>
      </c>
      <c r="E39" s="297" t="s">
        <v>707</v>
      </c>
      <c r="F39" s="461">
        <v>100</v>
      </c>
      <c r="G39" s="461" t="s">
        <v>137</v>
      </c>
      <c r="H39" s="432">
        <f t="shared" si="2"/>
        <v>11547.967200000003</v>
      </c>
      <c r="I39" s="149" t="s">
        <v>3</v>
      </c>
      <c r="J39" s="797">
        <f>H39/100</f>
        <v>115.47967200000002</v>
      </c>
      <c r="K39" s="2106"/>
      <c r="L39" s="2235"/>
      <c r="M39" s="2243"/>
      <c r="N39" s="266"/>
      <c r="O39" s="2235"/>
      <c r="P39" s="2243"/>
      <c r="Q39" s="266"/>
      <c r="R39" s="2235"/>
      <c r="S39" s="2243"/>
      <c r="T39" s="136"/>
      <c r="U39" s="844">
        <v>8927</v>
      </c>
      <c r="V39" s="844">
        <v>7756</v>
      </c>
      <c r="W39" s="844">
        <v>7404</v>
      </c>
      <c r="X39" s="844">
        <v>7194</v>
      </c>
    </row>
    <row r="40" spans="1:24" s="576" customFormat="1" ht="24.75" customHeight="1">
      <c r="A40" s="1186" t="s">
        <v>757</v>
      </c>
      <c r="B40" s="1187" t="s">
        <v>182</v>
      </c>
      <c r="C40" s="1188" t="s">
        <v>79</v>
      </c>
      <c r="D40" s="1188" t="s">
        <v>58</v>
      </c>
      <c r="E40" s="1189" t="s">
        <v>707</v>
      </c>
      <c r="F40" s="1190">
        <v>20</v>
      </c>
      <c r="G40" s="1191" t="s">
        <v>59</v>
      </c>
      <c r="H40" s="948">
        <f t="shared" si="2"/>
        <v>1602.7704</v>
      </c>
      <c r="I40" s="949" t="s">
        <v>3</v>
      </c>
      <c r="J40" s="2247">
        <f>H40/20</f>
        <v>80.13852</v>
      </c>
      <c r="K40" s="2106"/>
      <c r="L40" s="2235"/>
      <c r="M40" s="2243"/>
      <c r="N40" s="266"/>
      <c r="O40" s="2235"/>
      <c r="P40" s="2243"/>
      <c r="Q40" s="266"/>
      <c r="R40" s="2235"/>
      <c r="S40" s="2243"/>
      <c r="T40" s="1192"/>
      <c r="U40" s="576">
        <v>1239</v>
      </c>
      <c r="V40" s="576">
        <v>1140</v>
      </c>
      <c r="W40" s="576">
        <v>1095</v>
      </c>
      <c r="X40" s="576">
        <v>1051</v>
      </c>
    </row>
    <row r="41" spans="1:24" s="576" customFormat="1" ht="24.75" customHeight="1">
      <c r="A41" s="1193" t="s">
        <v>758</v>
      </c>
      <c r="B41" s="1194" t="s">
        <v>183</v>
      </c>
      <c r="C41" s="1195" t="s">
        <v>79</v>
      </c>
      <c r="D41" s="1195" t="s">
        <v>58</v>
      </c>
      <c r="E41" s="1196" t="s">
        <v>707</v>
      </c>
      <c r="F41" s="1197">
        <v>50</v>
      </c>
      <c r="G41" s="1198" t="s">
        <v>135</v>
      </c>
      <c r="H41" s="363">
        <f t="shared" si="2"/>
        <v>4006.279200000001</v>
      </c>
      <c r="I41" s="151" t="s">
        <v>3</v>
      </c>
      <c r="J41" s="2245">
        <f>H41/50</f>
        <v>80.12558400000002</v>
      </c>
      <c r="K41" s="2106"/>
      <c r="L41" s="2235"/>
      <c r="M41" s="2243"/>
      <c r="N41" s="266"/>
      <c r="O41" s="2235"/>
      <c r="P41" s="2243"/>
      <c r="Q41" s="266"/>
      <c r="R41" s="2235"/>
      <c r="S41" s="2243"/>
      <c r="T41" s="1192"/>
      <c r="U41" s="576">
        <v>3097</v>
      </c>
      <c r="V41" s="576">
        <v>2850</v>
      </c>
      <c r="W41" s="576">
        <v>2736</v>
      </c>
      <c r="X41" s="576">
        <v>2627</v>
      </c>
    </row>
    <row r="42" spans="1:24" s="576" customFormat="1" ht="24.75" customHeight="1">
      <c r="A42" s="1193" t="s">
        <v>759</v>
      </c>
      <c r="B42" s="1194" t="s">
        <v>182</v>
      </c>
      <c r="C42" s="1195" t="s">
        <v>79</v>
      </c>
      <c r="D42" s="1195" t="s">
        <v>58</v>
      </c>
      <c r="E42" s="1196" t="s">
        <v>707</v>
      </c>
      <c r="F42" s="1197">
        <v>100</v>
      </c>
      <c r="G42" s="1198" t="s">
        <v>136</v>
      </c>
      <c r="H42" s="363">
        <f t="shared" si="2"/>
        <v>8012.558400000002</v>
      </c>
      <c r="I42" s="151" t="s">
        <v>3</v>
      </c>
      <c r="J42" s="2245">
        <f>H42/100</f>
        <v>80.12558400000002</v>
      </c>
      <c r="K42" s="2106"/>
      <c r="L42" s="2235"/>
      <c r="M42" s="2243"/>
      <c r="N42" s="266"/>
      <c r="O42" s="2235"/>
      <c r="P42" s="2243"/>
      <c r="Q42" s="266"/>
      <c r="R42" s="2235"/>
      <c r="S42" s="2243"/>
      <c r="T42" s="1192"/>
      <c r="U42" s="576">
        <v>6194</v>
      </c>
      <c r="V42" s="576">
        <v>5700</v>
      </c>
      <c r="W42" s="576">
        <v>5473</v>
      </c>
      <c r="X42" s="576">
        <v>5253</v>
      </c>
    </row>
    <row r="43" spans="1:24" s="576" customFormat="1" ht="24.75" customHeight="1" thickBot="1">
      <c r="A43" s="1199" t="s">
        <v>760</v>
      </c>
      <c r="B43" s="1200" t="s">
        <v>183</v>
      </c>
      <c r="C43" s="1201" t="s">
        <v>79</v>
      </c>
      <c r="D43" s="1201" t="s">
        <v>58</v>
      </c>
      <c r="E43" s="1202" t="s">
        <v>707</v>
      </c>
      <c r="F43" s="1203">
        <v>100</v>
      </c>
      <c r="G43" s="1204" t="s">
        <v>137</v>
      </c>
      <c r="H43" s="365">
        <f t="shared" si="2"/>
        <v>8012.558400000002</v>
      </c>
      <c r="I43" s="298" t="s">
        <v>3</v>
      </c>
      <c r="J43" s="2246">
        <f>H43/100</f>
        <v>80.12558400000002</v>
      </c>
      <c r="K43" s="2106"/>
      <c r="L43" s="2235"/>
      <c r="M43" s="2243"/>
      <c r="N43" s="266"/>
      <c r="O43" s="2235"/>
      <c r="P43" s="2243"/>
      <c r="Q43" s="266"/>
      <c r="R43" s="2235"/>
      <c r="S43" s="2243"/>
      <c r="T43" s="1192"/>
      <c r="U43" s="576">
        <v>6194</v>
      </c>
      <c r="V43" s="576">
        <v>5700</v>
      </c>
      <c r="W43" s="576">
        <v>5473</v>
      </c>
      <c r="X43" s="576">
        <v>5253</v>
      </c>
    </row>
    <row r="44" spans="1:19" s="542" customFormat="1" ht="30" customHeight="1" thickBot="1">
      <c r="A44" s="569" t="s">
        <v>669</v>
      </c>
      <c r="B44" s="570" t="s">
        <v>670</v>
      </c>
      <c r="C44" s="571" t="s">
        <v>79</v>
      </c>
      <c r="D44" s="571" t="s">
        <v>58</v>
      </c>
      <c r="E44" s="571" t="s">
        <v>671</v>
      </c>
      <c r="F44" s="571">
        <v>100</v>
      </c>
      <c r="G44" s="572" t="s">
        <v>137</v>
      </c>
      <c r="H44" s="365">
        <f>8100*1.12*1.05*1.1</f>
        <v>10478.160000000002</v>
      </c>
      <c r="I44" s="573" t="s">
        <v>3</v>
      </c>
      <c r="J44" s="2252">
        <f>H44/100</f>
        <v>104.78160000000001</v>
      </c>
      <c r="K44" s="2106"/>
      <c r="L44" s="2262"/>
      <c r="M44" s="2261"/>
      <c r="N44" s="266"/>
      <c r="O44" s="2262"/>
      <c r="P44" s="2261"/>
      <c r="Q44" s="266"/>
      <c r="R44" s="2262"/>
      <c r="S44" s="2261"/>
    </row>
    <row r="45" spans="1:24" s="844" customFormat="1" ht="30" customHeight="1">
      <c r="A45" s="1050" t="s">
        <v>308</v>
      </c>
      <c r="B45" s="1051" t="s">
        <v>233</v>
      </c>
      <c r="C45" s="1052" t="s">
        <v>76</v>
      </c>
      <c r="D45" s="1053" t="s">
        <v>58</v>
      </c>
      <c r="E45" s="1054" t="s">
        <v>62</v>
      </c>
      <c r="F45" s="1053">
        <v>200</v>
      </c>
      <c r="G45" s="1053" t="s">
        <v>22</v>
      </c>
      <c r="H45" s="948">
        <f>U45*1.12*1.05*1.1</f>
        <v>2444.6452800000006</v>
      </c>
      <c r="I45" s="949" t="s">
        <v>3</v>
      </c>
      <c r="J45" s="2247">
        <f>H45/200</f>
        <v>12.223226400000003</v>
      </c>
      <c r="K45" s="2106"/>
      <c r="L45" s="2235"/>
      <c r="M45" s="2243"/>
      <c r="N45" s="266"/>
      <c r="O45" s="2235"/>
      <c r="P45" s="2243"/>
      <c r="Q45" s="266"/>
      <c r="R45" s="2235"/>
      <c r="S45" s="2243"/>
      <c r="T45" s="136"/>
      <c r="U45" s="985">
        <v>1889.8</v>
      </c>
      <c r="V45" s="985">
        <v>1799.6</v>
      </c>
      <c r="W45" s="985">
        <v>1681.9</v>
      </c>
      <c r="X45" s="985">
        <v>1601.6</v>
      </c>
    </row>
    <row r="46" spans="1:24" s="844" customFormat="1" ht="30" customHeight="1">
      <c r="A46" s="1055" t="s">
        <v>309</v>
      </c>
      <c r="B46" s="1056" t="s">
        <v>184</v>
      </c>
      <c r="C46" s="1052" t="s">
        <v>76</v>
      </c>
      <c r="D46" s="148" t="s">
        <v>58</v>
      </c>
      <c r="E46" s="1052" t="s">
        <v>63</v>
      </c>
      <c r="F46" s="148">
        <v>200</v>
      </c>
      <c r="G46" s="148" t="s">
        <v>22</v>
      </c>
      <c r="H46" s="363">
        <f>U46*1.12*1.05*1.1</f>
        <v>3736.692960000001</v>
      </c>
      <c r="I46" s="151" t="s">
        <v>3</v>
      </c>
      <c r="J46" s="2245">
        <f>H46/200</f>
        <v>18.683464800000007</v>
      </c>
      <c r="K46" s="2106"/>
      <c r="L46" s="2235"/>
      <c r="M46" s="2243"/>
      <c r="N46" s="266"/>
      <c r="O46" s="2235"/>
      <c r="P46" s="2243"/>
      <c r="Q46" s="266"/>
      <c r="R46" s="2235"/>
      <c r="S46" s="2243"/>
      <c r="T46" s="136"/>
      <c r="U46" s="985">
        <v>2888.6</v>
      </c>
      <c r="V46" s="986">
        <v>2752.2</v>
      </c>
      <c r="W46" s="986">
        <v>2574</v>
      </c>
      <c r="X46" s="986">
        <v>2459.6</v>
      </c>
    </row>
    <row r="47" spans="1:24" s="844" customFormat="1" ht="30" customHeight="1" thickBot="1">
      <c r="A47" s="1206" t="s">
        <v>310</v>
      </c>
      <c r="B47" s="1207" t="s">
        <v>185</v>
      </c>
      <c r="C47" s="1052" t="s">
        <v>76</v>
      </c>
      <c r="D47" s="1208" t="s">
        <v>58</v>
      </c>
      <c r="E47" s="1209" t="s">
        <v>23</v>
      </c>
      <c r="F47" s="1208">
        <v>200</v>
      </c>
      <c r="G47" s="1208" t="s">
        <v>22</v>
      </c>
      <c r="H47" s="363">
        <f>U47*1.12*1.05*1.1</f>
        <v>3884.6808000000005</v>
      </c>
      <c r="I47" s="151" t="s">
        <v>3</v>
      </c>
      <c r="J47" s="2242">
        <f>H47/200</f>
        <v>19.423404</v>
      </c>
      <c r="K47" s="2106"/>
      <c r="L47" s="2235"/>
      <c r="M47" s="2243"/>
      <c r="N47" s="266"/>
      <c r="O47" s="2235"/>
      <c r="P47" s="2243"/>
      <c r="Q47" s="266"/>
      <c r="R47" s="2235"/>
      <c r="S47" s="2243"/>
      <c r="T47" s="136"/>
      <c r="U47" s="987">
        <v>3003</v>
      </c>
      <c r="V47" s="987">
        <v>2888.6</v>
      </c>
      <c r="W47" s="987">
        <v>2702.7</v>
      </c>
      <c r="X47" s="987">
        <v>2574</v>
      </c>
    </row>
    <row r="48" spans="1:24" s="844" customFormat="1" ht="30" customHeight="1" thickBot="1">
      <c r="A48" s="1334" t="s">
        <v>1108</v>
      </c>
      <c r="B48" s="1335" t="s">
        <v>1109</v>
      </c>
      <c r="C48" s="1336" t="s">
        <v>222</v>
      </c>
      <c r="D48" s="1337" t="s">
        <v>58</v>
      </c>
      <c r="E48" s="1338" t="s">
        <v>1110</v>
      </c>
      <c r="F48" s="1337"/>
      <c r="G48" s="1337" t="s">
        <v>22</v>
      </c>
      <c r="H48" s="365">
        <f>U48*1.12*1.05*1.1</f>
        <v>6761.647200000002</v>
      </c>
      <c r="I48" s="298" t="s">
        <v>3</v>
      </c>
      <c r="J48" s="1049">
        <f>H48/200</f>
        <v>33.80823600000001</v>
      </c>
      <c r="K48" s="2106"/>
      <c r="L48" s="2235"/>
      <c r="M48" s="2243"/>
      <c r="N48" s="266"/>
      <c r="O48" s="2235"/>
      <c r="P48" s="2243"/>
      <c r="Q48" s="266"/>
      <c r="R48" s="2235"/>
      <c r="S48" s="2243"/>
      <c r="U48" s="1205">
        <v>5227</v>
      </c>
      <c r="V48" s="1205">
        <v>5028</v>
      </c>
      <c r="W48" s="1205">
        <v>4704</v>
      </c>
      <c r="X48" s="1205">
        <v>4480</v>
      </c>
    </row>
    <row r="49" spans="1:19" s="303" customFormat="1" ht="24.75" customHeight="1">
      <c r="A49" s="519" t="s">
        <v>586</v>
      </c>
      <c r="B49" s="302" t="s">
        <v>181</v>
      </c>
      <c r="C49" s="304" t="s">
        <v>76</v>
      </c>
      <c r="D49" s="305" t="s">
        <v>58</v>
      </c>
      <c r="E49" s="304" t="s">
        <v>28</v>
      </c>
      <c r="F49" s="305">
        <v>60</v>
      </c>
      <c r="G49" s="306" t="s">
        <v>29</v>
      </c>
      <c r="H49" s="362">
        <f>9162*1.12*1.05*1.1</f>
        <v>11851.963200000002</v>
      </c>
      <c r="I49" s="367" t="s">
        <v>3</v>
      </c>
      <c r="J49" s="2253">
        <f>H49/60</f>
        <v>197.53272000000004</v>
      </c>
      <c r="K49" s="2106"/>
      <c r="L49" s="2263"/>
      <c r="M49" s="2264"/>
      <c r="N49" s="266"/>
      <c r="O49" s="2263"/>
      <c r="P49" s="2264"/>
      <c r="Q49" s="266"/>
      <c r="R49" s="2263"/>
      <c r="S49" s="2264"/>
    </row>
    <row r="50" spans="1:24" s="998" customFormat="1" ht="24.75" customHeight="1">
      <c r="A50" s="520" t="s">
        <v>1064</v>
      </c>
      <c r="B50" s="677" t="s">
        <v>587</v>
      </c>
      <c r="C50" s="465" t="s">
        <v>76</v>
      </c>
      <c r="D50" s="466" t="s">
        <v>58</v>
      </c>
      <c r="E50" s="465"/>
      <c r="F50" s="466">
        <v>30</v>
      </c>
      <c r="G50" s="467" t="s">
        <v>35</v>
      </c>
      <c r="H50" s="363">
        <f>U50*1.105*1.05*1.05</f>
        <v>2289.1152375</v>
      </c>
      <c r="I50" s="468" t="s">
        <v>3</v>
      </c>
      <c r="J50" s="2254">
        <f>H50/10</f>
        <v>228.91152375000001</v>
      </c>
      <c r="K50" s="2106"/>
      <c r="L50" s="2263"/>
      <c r="M50" s="2264"/>
      <c r="N50" s="266"/>
      <c r="O50" s="2263"/>
      <c r="P50" s="2264"/>
      <c r="Q50" s="266"/>
      <c r="R50" s="2263"/>
      <c r="S50" s="2264"/>
      <c r="T50" s="368"/>
      <c r="U50" s="998">
        <v>1879</v>
      </c>
      <c r="V50" s="998">
        <v>1709</v>
      </c>
      <c r="W50" s="998">
        <v>1625</v>
      </c>
      <c r="X50" s="998">
        <v>1512</v>
      </c>
    </row>
    <row r="51" spans="1:19" s="303" customFormat="1" ht="24.75" customHeight="1">
      <c r="A51" s="520" t="s">
        <v>228</v>
      </c>
      <c r="B51" s="464" t="s">
        <v>587</v>
      </c>
      <c r="C51" s="465" t="s">
        <v>76</v>
      </c>
      <c r="D51" s="466" t="s">
        <v>58</v>
      </c>
      <c r="E51" s="465"/>
      <c r="F51" s="466">
        <v>30</v>
      </c>
      <c r="G51" s="467" t="s">
        <v>588</v>
      </c>
      <c r="H51" s="363">
        <f>5638*1.105*1.05*1.05</f>
        <v>6868.563975</v>
      </c>
      <c r="I51" s="468" t="s">
        <v>3</v>
      </c>
      <c r="J51" s="2254">
        <f>H51/30</f>
        <v>228.9521325</v>
      </c>
      <c r="K51" s="2106"/>
      <c r="L51" s="2263"/>
      <c r="M51" s="2264"/>
      <c r="N51" s="266"/>
      <c r="O51" s="2263"/>
      <c r="P51" s="2264"/>
      <c r="Q51" s="266"/>
      <c r="R51" s="2263"/>
      <c r="S51" s="2264"/>
    </row>
    <row r="52" spans="1:19" s="303" customFormat="1" ht="24.75" customHeight="1" thickBot="1">
      <c r="A52" s="521" t="s">
        <v>589</v>
      </c>
      <c r="B52" s="469" t="s">
        <v>587</v>
      </c>
      <c r="C52" s="470" t="s">
        <v>76</v>
      </c>
      <c r="D52" s="471" t="s">
        <v>58</v>
      </c>
      <c r="E52" s="470"/>
      <c r="F52" s="471">
        <v>60</v>
      </c>
      <c r="G52" s="472" t="s">
        <v>29</v>
      </c>
      <c r="H52" s="365">
        <f>11276*1.05*1.05*1.05</f>
        <v>13053.379500000001</v>
      </c>
      <c r="I52" s="473" t="s">
        <v>3</v>
      </c>
      <c r="J52" s="2255">
        <f>H52/60</f>
        <v>217.55632500000002</v>
      </c>
      <c r="K52" s="2106"/>
      <c r="L52" s="2263"/>
      <c r="M52" s="2264"/>
      <c r="N52" s="266"/>
      <c r="O52" s="2263"/>
      <c r="P52" s="2264"/>
      <c r="Q52" s="266"/>
      <c r="R52" s="2263"/>
      <c r="S52" s="2264"/>
    </row>
    <row r="53" ht="27.75" customHeight="1"/>
    <row r="54" spans="1:19" ht="20.25">
      <c r="A54" s="1712" t="s">
        <v>48</v>
      </c>
      <c r="B54" s="1712"/>
      <c r="C54" s="1712"/>
      <c r="D54" s="1712"/>
      <c r="E54" s="1712"/>
      <c r="F54" s="1712"/>
      <c r="G54" s="1712"/>
      <c r="H54" s="1712"/>
      <c r="I54" s="1712"/>
      <c r="J54" s="1712"/>
      <c r="K54" s="2237"/>
      <c r="L54" s="2237"/>
      <c r="M54" s="2237"/>
      <c r="N54" s="2237"/>
      <c r="O54" s="2237"/>
      <c r="P54" s="2237"/>
      <c r="Q54" s="2237"/>
      <c r="R54" s="2237"/>
      <c r="S54" s="2237"/>
    </row>
    <row r="55" ht="12.75" customHeight="1" thickBot="1"/>
    <row r="56" spans="1:19" ht="15.75" customHeight="1">
      <c r="A56" s="1691" t="s">
        <v>0</v>
      </c>
      <c r="B56" s="1709" t="s">
        <v>49</v>
      </c>
      <c r="C56" s="1706" t="s">
        <v>75</v>
      </c>
      <c r="D56" s="1720" t="s">
        <v>57</v>
      </c>
      <c r="E56" s="1723" t="s">
        <v>19</v>
      </c>
      <c r="F56" s="609"/>
      <c r="G56" s="1720" t="s">
        <v>24</v>
      </c>
      <c r="H56" s="2312" t="s">
        <v>1239</v>
      </c>
      <c r="I56" s="2307"/>
      <c r="J56" s="2308"/>
      <c r="K56" s="2299"/>
      <c r="L56" s="2284"/>
      <c r="M56" s="2284"/>
      <c r="N56" s="2284"/>
      <c r="O56" s="2284"/>
      <c r="P56" s="2284"/>
      <c r="Q56" s="2284"/>
      <c r="R56" s="2284"/>
      <c r="S56" s="2284"/>
    </row>
    <row r="57" spans="1:19" ht="12.75" customHeight="1">
      <c r="A57" s="1692"/>
      <c r="B57" s="1710"/>
      <c r="C57" s="1707"/>
      <c r="D57" s="1721"/>
      <c r="E57" s="1724"/>
      <c r="F57" s="610"/>
      <c r="G57" s="1721"/>
      <c r="H57" s="2309"/>
      <c r="I57" s="2310"/>
      <c r="J57" s="2311"/>
      <c r="K57" s="2300"/>
      <c r="L57" s="2285"/>
      <c r="M57" s="2285"/>
      <c r="N57" s="2285"/>
      <c r="O57" s="2285"/>
      <c r="P57" s="2285"/>
      <c r="Q57" s="2285"/>
      <c r="R57" s="2285"/>
      <c r="S57" s="2285"/>
    </row>
    <row r="58" spans="1:19" ht="14.25" customHeight="1" thickBot="1">
      <c r="A58" s="1693"/>
      <c r="B58" s="1711"/>
      <c r="C58" s="1708"/>
      <c r="D58" s="1722"/>
      <c r="E58" s="1725"/>
      <c r="F58" s="611"/>
      <c r="G58" s="1722"/>
      <c r="H58" s="513" t="s">
        <v>50</v>
      </c>
      <c r="I58" s="514" t="s">
        <v>3</v>
      </c>
      <c r="J58" s="515" t="s">
        <v>51</v>
      </c>
      <c r="K58" s="2301"/>
      <c r="L58" s="2287"/>
      <c r="M58" s="2286"/>
      <c r="N58" s="2286"/>
      <c r="O58" s="2287"/>
      <c r="P58" s="2286"/>
      <c r="Q58" s="2286"/>
      <c r="R58" s="2287"/>
      <c r="S58" s="2286"/>
    </row>
    <row r="59" spans="1:32" s="38" customFormat="1" ht="27" customHeight="1">
      <c r="A59" s="636" t="s">
        <v>775</v>
      </c>
      <c r="B59" s="612" t="s">
        <v>203</v>
      </c>
      <c r="C59" s="613" t="s">
        <v>138</v>
      </c>
      <c r="D59" s="613" t="s">
        <v>204</v>
      </c>
      <c r="E59" s="614" t="s">
        <v>46</v>
      </c>
      <c r="F59" s="615">
        <v>50</v>
      </c>
      <c r="G59" s="613" t="s">
        <v>566</v>
      </c>
      <c r="H59" s="795">
        <f>U59*1.02</f>
        <v>415.24199999999996</v>
      </c>
      <c r="I59" s="307" t="s">
        <v>3</v>
      </c>
      <c r="J59" s="2248">
        <f>H59/45</f>
        <v>9.227599999999999</v>
      </c>
      <c r="K59" s="2302"/>
      <c r="L59" s="2235"/>
      <c r="M59" s="2243"/>
      <c r="N59" s="2288"/>
      <c r="O59" s="2235"/>
      <c r="P59" s="2243"/>
      <c r="Q59" s="2288"/>
      <c r="R59" s="2235"/>
      <c r="S59" s="2243"/>
      <c r="U59" s="715">
        <v>407.09999999999997</v>
      </c>
      <c r="V59" s="716" t="s">
        <v>3</v>
      </c>
      <c r="W59" s="717">
        <v>9.046666666666665</v>
      </c>
      <c r="X59" s="715">
        <v>386.40000000000003</v>
      </c>
      <c r="Y59" s="716" t="s">
        <v>3</v>
      </c>
      <c r="Z59" s="718">
        <v>8.586666666666668</v>
      </c>
      <c r="AA59" s="719">
        <v>362.25</v>
      </c>
      <c r="AB59" s="720" t="s">
        <v>3</v>
      </c>
      <c r="AC59" s="721">
        <v>8.05</v>
      </c>
      <c r="AD59" s="722">
        <v>345</v>
      </c>
      <c r="AE59" s="720" t="s">
        <v>3</v>
      </c>
      <c r="AF59" s="723">
        <v>7.666666666666667</v>
      </c>
    </row>
    <row r="60" spans="1:32" s="38" customFormat="1" ht="27" customHeight="1" thickBot="1">
      <c r="A60" s="637" t="s">
        <v>776</v>
      </c>
      <c r="B60" s="638" t="s">
        <v>777</v>
      </c>
      <c r="C60" s="639" t="s">
        <v>138</v>
      </c>
      <c r="D60" s="639" t="s">
        <v>205</v>
      </c>
      <c r="E60" s="640" t="s">
        <v>46</v>
      </c>
      <c r="F60" s="641">
        <v>45</v>
      </c>
      <c r="G60" s="639" t="s">
        <v>566</v>
      </c>
      <c r="H60" s="796">
        <f aca="true" t="shared" si="3" ref="H60:H67">U60*1.02</f>
        <v>402.0024</v>
      </c>
      <c r="I60" s="298" t="s">
        <v>3</v>
      </c>
      <c r="J60" s="797">
        <f aca="true" t="shared" si="4" ref="J60:J66">H60/45</f>
        <v>8.933386666666667</v>
      </c>
      <c r="K60" s="2302"/>
      <c r="L60" s="2235"/>
      <c r="M60" s="2243"/>
      <c r="N60" s="2288"/>
      <c r="O60" s="2235"/>
      <c r="P60" s="2243"/>
      <c r="Q60" s="2288"/>
      <c r="R60" s="2235"/>
      <c r="S60" s="2243"/>
      <c r="U60" s="724">
        <v>394.12</v>
      </c>
      <c r="V60" s="725" t="s">
        <v>3</v>
      </c>
      <c r="W60" s="726">
        <v>8.758222222222223</v>
      </c>
      <c r="X60" s="724">
        <v>374.08000000000004</v>
      </c>
      <c r="Y60" s="725" t="s">
        <v>3</v>
      </c>
      <c r="Z60" s="727">
        <v>8.31288888888889</v>
      </c>
      <c r="AA60" s="728">
        <v>350.7</v>
      </c>
      <c r="AB60" s="729" t="s">
        <v>3</v>
      </c>
      <c r="AC60" s="730">
        <v>7.793333333333333</v>
      </c>
      <c r="AD60" s="731">
        <v>334</v>
      </c>
      <c r="AE60" s="729" t="s">
        <v>3</v>
      </c>
      <c r="AF60" s="732">
        <v>7.4222222222222225</v>
      </c>
    </row>
    <row r="61" spans="1:32" s="38" customFormat="1" ht="27" customHeight="1">
      <c r="A61" s="636" t="s">
        <v>778</v>
      </c>
      <c r="B61" s="616" t="s">
        <v>207</v>
      </c>
      <c r="C61" s="617" t="s">
        <v>138</v>
      </c>
      <c r="D61" s="617" t="s">
        <v>205</v>
      </c>
      <c r="E61" s="618" t="s">
        <v>53</v>
      </c>
      <c r="F61" s="619">
        <v>50</v>
      </c>
      <c r="G61" s="617" t="s">
        <v>566</v>
      </c>
      <c r="H61" s="795">
        <f t="shared" si="3"/>
        <v>595.782</v>
      </c>
      <c r="I61" s="798" t="s">
        <v>3</v>
      </c>
      <c r="J61" s="2248">
        <f t="shared" si="4"/>
        <v>13.239600000000001</v>
      </c>
      <c r="K61" s="2302"/>
      <c r="L61" s="2235"/>
      <c r="M61" s="2243"/>
      <c r="N61" s="2288"/>
      <c r="O61" s="2289"/>
      <c r="P61" s="2243"/>
      <c r="Q61" s="2288"/>
      <c r="R61" s="2289"/>
      <c r="S61" s="2243"/>
      <c r="U61" s="715">
        <v>584.1</v>
      </c>
      <c r="V61" s="733" t="s">
        <v>3</v>
      </c>
      <c r="W61" s="717">
        <v>12.98</v>
      </c>
      <c r="X61" s="715">
        <v>554.4000000000001</v>
      </c>
      <c r="Y61" s="716" t="s">
        <v>3</v>
      </c>
      <c r="Z61" s="718">
        <v>12.320000000000002</v>
      </c>
      <c r="AA61" s="719">
        <v>519.75</v>
      </c>
      <c r="AB61" s="734" t="s">
        <v>3</v>
      </c>
      <c r="AC61" s="721">
        <v>11.55</v>
      </c>
      <c r="AD61" s="722">
        <v>495</v>
      </c>
      <c r="AE61" s="734" t="s">
        <v>3</v>
      </c>
      <c r="AF61" s="723">
        <v>11</v>
      </c>
    </row>
    <row r="62" spans="1:32" s="854" customFormat="1" ht="27.75" customHeight="1">
      <c r="A62" s="462" t="s">
        <v>1017</v>
      </c>
      <c r="B62" s="951" t="s">
        <v>1018</v>
      </c>
      <c r="C62" s="952" t="s">
        <v>138</v>
      </c>
      <c r="D62" s="952" t="s">
        <v>205</v>
      </c>
      <c r="E62" s="953" t="s">
        <v>53</v>
      </c>
      <c r="F62" s="148">
        <v>50</v>
      </c>
      <c r="G62" s="952" t="s">
        <v>566</v>
      </c>
      <c r="H62" s="796">
        <v>595.782</v>
      </c>
      <c r="I62" s="149" t="s">
        <v>3</v>
      </c>
      <c r="J62" s="797">
        <v>13.239600000000001</v>
      </c>
      <c r="K62" s="2302"/>
      <c r="L62" s="2235"/>
      <c r="M62" s="2243"/>
      <c r="N62" s="2288"/>
      <c r="O62" s="2235"/>
      <c r="P62" s="2243"/>
      <c r="Q62" s="2288"/>
      <c r="R62" s="2235"/>
      <c r="S62" s="2243"/>
      <c r="T62" s="38"/>
      <c r="U62" s="845"/>
      <c r="V62" s="846"/>
      <c r="W62" s="747"/>
      <c r="X62" s="845"/>
      <c r="Y62" s="847"/>
      <c r="Z62" s="848"/>
      <c r="AA62" s="849"/>
      <c r="AB62" s="850"/>
      <c r="AC62" s="851"/>
      <c r="AD62" s="852"/>
      <c r="AE62" s="850"/>
      <c r="AF62" s="853"/>
    </row>
    <row r="63" spans="1:32" s="38" customFormat="1" ht="27" customHeight="1" thickBot="1">
      <c r="A63" s="637" t="s">
        <v>779</v>
      </c>
      <c r="B63" s="638" t="s">
        <v>1066</v>
      </c>
      <c r="C63" s="639" t="s">
        <v>138</v>
      </c>
      <c r="D63" s="639" t="s">
        <v>205</v>
      </c>
      <c r="E63" s="640" t="s">
        <v>53</v>
      </c>
      <c r="F63" s="641">
        <v>45</v>
      </c>
      <c r="G63" s="639" t="s">
        <v>566</v>
      </c>
      <c r="H63" s="796">
        <f t="shared" si="3"/>
        <v>529.584</v>
      </c>
      <c r="I63" s="799" t="s">
        <v>3</v>
      </c>
      <c r="J63" s="797">
        <f t="shared" si="4"/>
        <v>11.768533333333332</v>
      </c>
      <c r="K63" s="2302"/>
      <c r="L63" s="2235"/>
      <c r="M63" s="2243"/>
      <c r="N63" s="2288"/>
      <c r="O63" s="2289"/>
      <c r="P63" s="2243"/>
      <c r="Q63" s="2288"/>
      <c r="R63" s="2289"/>
      <c r="S63" s="2243"/>
      <c r="U63" s="735">
        <v>519.1999999999999</v>
      </c>
      <c r="V63" s="736" t="s">
        <v>3</v>
      </c>
      <c r="W63" s="737">
        <v>11.537777777777777</v>
      </c>
      <c r="X63" s="735">
        <v>492.80000000000007</v>
      </c>
      <c r="Y63" s="738" t="s">
        <v>3</v>
      </c>
      <c r="Z63" s="739">
        <v>10.951111111111112</v>
      </c>
      <c r="AA63" s="740">
        <v>462</v>
      </c>
      <c r="AB63" s="741" t="s">
        <v>3</v>
      </c>
      <c r="AC63" s="742">
        <v>10.266666666666667</v>
      </c>
      <c r="AD63" s="743">
        <v>440</v>
      </c>
      <c r="AE63" s="741" t="s">
        <v>3</v>
      </c>
      <c r="AF63" s="744">
        <v>9.777777777777779</v>
      </c>
    </row>
    <row r="64" spans="1:32" s="368" customFormat="1" ht="27" customHeight="1">
      <c r="A64" s="636" t="s">
        <v>780</v>
      </c>
      <c r="B64" s="616" t="s">
        <v>54</v>
      </c>
      <c r="C64" s="617" t="s">
        <v>208</v>
      </c>
      <c r="D64" s="617" t="s">
        <v>70</v>
      </c>
      <c r="E64" s="618" t="s">
        <v>53</v>
      </c>
      <c r="F64" s="619">
        <v>50</v>
      </c>
      <c r="G64" s="617" t="s">
        <v>566</v>
      </c>
      <c r="H64" s="795">
        <f t="shared" si="3"/>
        <v>974.9159999999999</v>
      </c>
      <c r="I64" s="307" t="s">
        <v>3</v>
      </c>
      <c r="J64" s="2248">
        <f t="shared" si="4"/>
        <v>21.6648</v>
      </c>
      <c r="K64" s="2302"/>
      <c r="L64" s="2235"/>
      <c r="M64" s="2243"/>
      <c r="N64" s="2288"/>
      <c r="O64" s="2235"/>
      <c r="P64" s="2243"/>
      <c r="Q64" s="2288"/>
      <c r="R64" s="2235"/>
      <c r="S64" s="2243"/>
      <c r="U64" s="745">
        <v>955.8</v>
      </c>
      <c r="V64" s="746" t="s">
        <v>3</v>
      </c>
      <c r="W64" s="747">
        <v>21.24</v>
      </c>
      <c r="X64" s="748">
        <v>907.2</v>
      </c>
      <c r="Y64" s="746" t="s">
        <v>3</v>
      </c>
      <c r="Z64" s="749">
        <v>20.16</v>
      </c>
      <c r="AA64" s="750">
        <v>850.5</v>
      </c>
      <c r="AB64" s="751" t="s">
        <v>3</v>
      </c>
      <c r="AC64" s="752">
        <v>18.9</v>
      </c>
      <c r="AD64" s="753">
        <v>810</v>
      </c>
      <c r="AE64" s="751" t="s">
        <v>3</v>
      </c>
      <c r="AF64" s="754">
        <v>18</v>
      </c>
    </row>
    <row r="65" spans="1:32" s="38" customFormat="1" ht="27" customHeight="1">
      <c r="A65" s="642" t="s">
        <v>781</v>
      </c>
      <c r="B65" s="616" t="s">
        <v>55</v>
      </c>
      <c r="C65" s="617" t="s">
        <v>782</v>
      </c>
      <c r="D65" s="617" t="s">
        <v>70</v>
      </c>
      <c r="E65" s="618" t="s">
        <v>53</v>
      </c>
      <c r="F65" s="619">
        <v>50</v>
      </c>
      <c r="G65" s="617" t="s">
        <v>566</v>
      </c>
      <c r="H65" s="800">
        <f t="shared" si="3"/>
        <v>1143.42</v>
      </c>
      <c r="I65" s="801" t="s">
        <v>3</v>
      </c>
      <c r="J65" s="2245">
        <f t="shared" si="4"/>
        <v>25.409333333333336</v>
      </c>
      <c r="K65" s="2302"/>
      <c r="L65" s="2235"/>
      <c r="M65" s="2243"/>
      <c r="N65" s="2288"/>
      <c r="O65" s="2289"/>
      <c r="P65" s="2243"/>
      <c r="Q65" s="2288"/>
      <c r="R65" s="2289"/>
      <c r="S65" s="2243"/>
      <c r="U65" s="755">
        <v>1121</v>
      </c>
      <c r="V65" s="756" t="s">
        <v>3</v>
      </c>
      <c r="W65" s="757">
        <v>24.91111111111111</v>
      </c>
      <c r="X65" s="758">
        <v>1064</v>
      </c>
      <c r="Y65" s="759" t="s">
        <v>3</v>
      </c>
      <c r="Z65" s="760">
        <v>23.644444444444446</v>
      </c>
      <c r="AA65" s="761">
        <v>997.5</v>
      </c>
      <c r="AB65" s="762" t="s">
        <v>3</v>
      </c>
      <c r="AC65" s="763">
        <v>22.166666666666668</v>
      </c>
      <c r="AD65" s="764">
        <v>950</v>
      </c>
      <c r="AE65" s="762" t="s">
        <v>3</v>
      </c>
      <c r="AF65" s="765">
        <v>21.11111111111111</v>
      </c>
    </row>
    <row r="66" spans="1:32" ht="21" customHeight="1">
      <c r="A66" s="642" t="s">
        <v>783</v>
      </c>
      <c r="B66" s="616" t="s">
        <v>565</v>
      </c>
      <c r="C66" s="617" t="s">
        <v>138</v>
      </c>
      <c r="D66" s="617" t="s">
        <v>567</v>
      </c>
      <c r="E66" s="618" t="s">
        <v>28</v>
      </c>
      <c r="F66" s="619"/>
      <c r="G66" s="617" t="s">
        <v>566</v>
      </c>
      <c r="H66" s="800">
        <f t="shared" si="3"/>
        <v>886.5717599999999</v>
      </c>
      <c r="I66" s="151" t="s">
        <v>3</v>
      </c>
      <c r="J66" s="2245">
        <f t="shared" si="4"/>
        <v>19.701594666666665</v>
      </c>
      <c r="K66" s="2302"/>
      <c r="L66" s="2235"/>
      <c r="M66" s="2243"/>
      <c r="N66" s="2288"/>
      <c r="O66" s="2235"/>
      <c r="P66" s="2243"/>
      <c r="Q66" s="2288"/>
      <c r="R66" s="2235"/>
      <c r="S66" s="2243"/>
      <c r="U66" s="755">
        <v>869.1879999999999</v>
      </c>
      <c r="V66" s="759" t="s">
        <v>3</v>
      </c>
      <c r="W66" s="766">
        <v>19.315288888888887</v>
      </c>
      <c r="X66" s="758">
        <v>824.992</v>
      </c>
      <c r="Y66" s="759" t="s">
        <v>3</v>
      </c>
      <c r="Z66" s="760">
        <v>18.333155555555553</v>
      </c>
      <c r="AA66" s="761">
        <v>773.43</v>
      </c>
      <c r="AB66" s="767" t="s">
        <v>3</v>
      </c>
      <c r="AC66" s="763">
        <v>17.18733333333333</v>
      </c>
      <c r="AD66" s="764">
        <v>736.5999999999999</v>
      </c>
      <c r="AE66" s="767" t="s">
        <v>3</v>
      </c>
      <c r="AF66" s="765">
        <v>16.368888888888886</v>
      </c>
    </row>
    <row r="67" spans="1:32" ht="21" customHeight="1" thickBot="1">
      <c r="A67" s="643" t="s">
        <v>784</v>
      </c>
      <c r="B67" s="620" t="s">
        <v>69</v>
      </c>
      <c r="C67" s="621" t="s">
        <v>138</v>
      </c>
      <c r="D67" s="622" t="s">
        <v>71</v>
      </c>
      <c r="E67" s="623" t="s">
        <v>68</v>
      </c>
      <c r="F67" s="624">
        <v>2.25</v>
      </c>
      <c r="G67" s="579" t="s">
        <v>67</v>
      </c>
      <c r="H67" s="802">
        <f t="shared" si="3"/>
        <v>30.09</v>
      </c>
      <c r="I67" s="298" t="s">
        <v>3</v>
      </c>
      <c r="J67" s="2246">
        <f>H67/2.25</f>
        <v>13.373333333333333</v>
      </c>
      <c r="K67" s="2302"/>
      <c r="L67" s="2235"/>
      <c r="M67" s="2243"/>
      <c r="N67" s="2288"/>
      <c r="O67" s="2235"/>
      <c r="P67" s="2243"/>
      <c r="Q67" s="2288"/>
      <c r="R67" s="2289"/>
      <c r="S67" s="2243"/>
      <c r="U67" s="768">
        <v>29.5</v>
      </c>
      <c r="V67" s="738" t="s">
        <v>3</v>
      </c>
      <c r="W67" s="737">
        <v>13.11111111111111</v>
      </c>
      <c r="X67" s="735">
        <v>28.000000000000004</v>
      </c>
      <c r="Y67" s="738" t="s">
        <v>3</v>
      </c>
      <c r="Z67" s="739">
        <v>12.444444444444446</v>
      </c>
      <c r="AA67" s="740">
        <v>26.25</v>
      </c>
      <c r="AB67" s="769" t="s">
        <v>3</v>
      </c>
      <c r="AC67" s="742">
        <v>11.666666666666666</v>
      </c>
      <c r="AD67" s="743">
        <v>25</v>
      </c>
      <c r="AE67" s="741" t="s">
        <v>3</v>
      </c>
      <c r="AF67" s="744">
        <v>11.11111111111111</v>
      </c>
    </row>
    <row r="68" spans="4:19" ht="13.5" thickBot="1">
      <c r="D68" s="43"/>
      <c r="E68" s="543"/>
      <c r="F68" s="543"/>
      <c r="G68" s="543"/>
      <c r="H68" s="544"/>
      <c r="I68" s="544"/>
      <c r="J68" s="544"/>
      <c r="K68" s="2303"/>
      <c r="L68" s="2234"/>
      <c r="M68" s="2234"/>
      <c r="N68" s="2234"/>
      <c r="O68" s="2234"/>
      <c r="P68" s="2234"/>
      <c r="Q68" s="2234"/>
      <c r="R68" s="2234"/>
      <c r="S68" s="2234"/>
    </row>
    <row r="69" spans="1:19" ht="13.5" customHeight="1" thickBot="1">
      <c r="A69" s="1697" t="s">
        <v>0</v>
      </c>
      <c r="B69" s="1697" t="s">
        <v>1</v>
      </c>
      <c r="C69" s="1726" t="s">
        <v>630</v>
      </c>
      <c r="D69" s="1726" t="s">
        <v>631</v>
      </c>
      <c r="E69" s="1726" t="s">
        <v>632</v>
      </c>
      <c r="F69" s="1726"/>
      <c r="G69" s="1726" t="s">
        <v>57</v>
      </c>
      <c r="H69" s="1713" t="s">
        <v>1239</v>
      </c>
      <c r="I69" s="1714"/>
      <c r="J69" s="1714"/>
      <c r="K69" s="2266"/>
      <c r="L69" s="2257"/>
      <c r="M69" s="2257"/>
      <c r="N69" s="2257"/>
      <c r="O69" s="2257"/>
      <c r="P69" s="2257"/>
      <c r="Q69" s="2257"/>
      <c r="R69" s="2257"/>
      <c r="S69" s="2257"/>
    </row>
    <row r="70" spans="1:19" ht="13.5" thickBot="1">
      <c r="A70" s="1698"/>
      <c r="B70" s="1698"/>
      <c r="C70" s="1727"/>
      <c r="D70" s="1727"/>
      <c r="E70" s="1727"/>
      <c r="F70" s="1727"/>
      <c r="G70" s="1727"/>
      <c r="H70" s="504" t="s">
        <v>2</v>
      </c>
      <c r="I70" s="504" t="s">
        <v>3</v>
      </c>
      <c r="J70" s="2274" t="s">
        <v>633</v>
      </c>
      <c r="K70" s="2150"/>
      <c r="L70" s="2144"/>
      <c r="M70" s="2145"/>
      <c r="N70" s="2143"/>
      <c r="O70" s="2144"/>
      <c r="P70" s="2145"/>
      <c r="Q70" s="2143"/>
      <c r="R70" s="2144"/>
      <c r="S70" s="2145"/>
    </row>
    <row r="71" spans="1:19" s="1211" customFormat="1" ht="24.75" customHeight="1">
      <c r="A71" s="1339" t="s">
        <v>638</v>
      </c>
      <c r="B71" s="1340" t="s">
        <v>639</v>
      </c>
      <c r="C71" s="1732">
        <v>100</v>
      </c>
      <c r="D71" s="1734">
        <v>2</v>
      </c>
      <c r="E71" s="463">
        <v>25</v>
      </c>
      <c r="F71" s="463"/>
      <c r="G71" s="1341" t="s">
        <v>636</v>
      </c>
      <c r="H71" s="362">
        <v>1244.1844800000003</v>
      </c>
      <c r="I71" s="484" t="s">
        <v>3</v>
      </c>
      <c r="J71" s="2275">
        <v>49.767379200000015</v>
      </c>
      <c r="K71" s="2106"/>
      <c r="L71" s="2235"/>
      <c r="M71" s="2276"/>
      <c r="N71" s="266"/>
      <c r="O71" s="2235"/>
      <c r="P71" s="2276"/>
      <c r="Q71" s="266"/>
      <c r="R71" s="2235"/>
      <c r="S71" s="2276"/>
    </row>
    <row r="72" spans="1:19" s="1211" customFormat="1" ht="24.75" customHeight="1" thickBot="1">
      <c r="A72" s="1342" t="s">
        <v>640</v>
      </c>
      <c r="B72" s="1343" t="s">
        <v>639</v>
      </c>
      <c r="C72" s="1733"/>
      <c r="D72" s="1735"/>
      <c r="E72" s="1344">
        <v>50</v>
      </c>
      <c r="F72" s="1344"/>
      <c r="G72" s="1345" t="s">
        <v>636</v>
      </c>
      <c r="H72" s="365">
        <v>2488.3689600000007</v>
      </c>
      <c r="I72" s="266" t="s">
        <v>3</v>
      </c>
      <c r="J72" s="2276">
        <v>49.767379200000015</v>
      </c>
      <c r="K72" s="2106"/>
      <c r="L72" s="266"/>
      <c r="M72" s="2276"/>
      <c r="N72" s="266"/>
      <c r="O72" s="266"/>
      <c r="P72" s="2276"/>
      <c r="Q72" s="266"/>
      <c r="R72" s="266"/>
      <c r="S72" s="2276"/>
    </row>
    <row r="73" spans="1:19" s="1211" customFormat="1" ht="24.75" customHeight="1">
      <c r="A73" s="1339" t="s">
        <v>641</v>
      </c>
      <c r="B73" s="1340" t="s">
        <v>639</v>
      </c>
      <c r="C73" s="1730">
        <v>120</v>
      </c>
      <c r="D73" s="1730">
        <v>2</v>
      </c>
      <c r="E73" s="1346">
        <v>25</v>
      </c>
      <c r="F73" s="1346"/>
      <c r="G73" s="1347" t="s">
        <v>636</v>
      </c>
      <c r="H73" s="362">
        <v>1390.5391500000005</v>
      </c>
      <c r="I73" s="484" t="s">
        <v>3</v>
      </c>
      <c r="J73" s="2275">
        <v>55.62156600000002</v>
      </c>
      <c r="K73" s="2106"/>
      <c r="L73" s="2235"/>
      <c r="M73" s="2276"/>
      <c r="N73" s="266"/>
      <c r="O73" s="2235"/>
      <c r="P73" s="2276"/>
      <c r="Q73" s="266"/>
      <c r="R73" s="2235"/>
      <c r="S73" s="2276"/>
    </row>
    <row r="74" spans="1:19" s="1211" customFormat="1" ht="24.75" customHeight="1" thickBot="1">
      <c r="A74" s="1342" t="s">
        <v>642</v>
      </c>
      <c r="B74" s="1348" t="s">
        <v>639</v>
      </c>
      <c r="C74" s="1736"/>
      <c r="D74" s="1738"/>
      <c r="E74" s="1349">
        <v>50</v>
      </c>
      <c r="F74" s="1349"/>
      <c r="G74" s="1347" t="s">
        <v>636</v>
      </c>
      <c r="H74" s="363">
        <v>2781.078300000001</v>
      </c>
      <c r="I74" s="248" t="s">
        <v>3</v>
      </c>
      <c r="J74" s="2277">
        <v>55.62156600000002</v>
      </c>
      <c r="K74" s="2106"/>
      <c r="L74" s="266"/>
      <c r="M74" s="2276"/>
      <c r="N74" s="266"/>
      <c r="O74" s="266"/>
      <c r="P74" s="2276"/>
      <c r="Q74" s="266"/>
      <c r="R74" s="266"/>
      <c r="S74" s="2276"/>
    </row>
    <row r="75" spans="1:19" s="1211" customFormat="1" ht="24.75" customHeight="1">
      <c r="A75" s="1339" t="s">
        <v>643</v>
      </c>
      <c r="B75" s="1350" t="s">
        <v>639</v>
      </c>
      <c r="C75" s="1736"/>
      <c r="D75" s="1737">
        <v>3</v>
      </c>
      <c r="E75" s="485">
        <v>25</v>
      </c>
      <c r="F75" s="485"/>
      <c r="G75" s="1347" t="s">
        <v>636</v>
      </c>
      <c r="H75" s="363">
        <v>2200.4136000000003</v>
      </c>
      <c r="I75" s="152" t="s">
        <v>3</v>
      </c>
      <c r="J75" s="2278">
        <v>88.01654400000001</v>
      </c>
      <c r="K75" s="2106"/>
      <c r="L75" s="2235"/>
      <c r="M75" s="2290"/>
      <c r="N75" s="266"/>
      <c r="O75" s="2235"/>
      <c r="P75" s="2290"/>
      <c r="Q75" s="266"/>
      <c r="R75" s="2235"/>
      <c r="S75" s="2290"/>
    </row>
    <row r="76" spans="1:19" s="1211" customFormat="1" ht="24.75" customHeight="1">
      <c r="A76" s="1351" t="s">
        <v>644</v>
      </c>
      <c r="B76" s="1348" t="s">
        <v>639</v>
      </c>
      <c r="C76" s="1736"/>
      <c r="D76" s="1738"/>
      <c r="E76" s="1349">
        <v>50</v>
      </c>
      <c r="F76" s="1349"/>
      <c r="G76" s="1352" t="s">
        <v>637</v>
      </c>
      <c r="H76" s="363">
        <v>4248.020700000001</v>
      </c>
      <c r="I76" s="248" t="s">
        <v>3</v>
      </c>
      <c r="J76" s="2279">
        <v>84.96041400000001</v>
      </c>
      <c r="K76" s="2106"/>
      <c r="L76" s="266"/>
      <c r="M76" s="2290"/>
      <c r="N76" s="266"/>
      <c r="O76" s="266"/>
      <c r="P76" s="2290"/>
      <c r="Q76" s="266"/>
      <c r="R76" s="266"/>
      <c r="S76" s="2290"/>
    </row>
    <row r="77" spans="1:19" s="1211" customFormat="1" ht="24.75" customHeight="1">
      <c r="A77" s="1351" t="s">
        <v>645</v>
      </c>
      <c r="B77" s="1350" t="s">
        <v>639</v>
      </c>
      <c r="C77" s="1736"/>
      <c r="D77" s="1737">
        <v>4</v>
      </c>
      <c r="E77" s="1349">
        <v>25</v>
      </c>
      <c r="F77" s="1349"/>
      <c r="G77" s="1347" t="s">
        <v>636</v>
      </c>
      <c r="H77" s="363">
        <v>2933.8848000000007</v>
      </c>
      <c r="I77" s="152" t="s">
        <v>3</v>
      </c>
      <c r="J77" s="2279">
        <v>117.35539200000002</v>
      </c>
      <c r="K77" s="2106"/>
      <c r="L77" s="2235"/>
      <c r="M77" s="2290"/>
      <c r="N77" s="266"/>
      <c r="O77" s="2235"/>
      <c r="P77" s="2290"/>
      <c r="Q77" s="266"/>
      <c r="R77" s="2235"/>
      <c r="S77" s="2290"/>
    </row>
    <row r="78" spans="1:19" s="1211" customFormat="1" ht="24.75" customHeight="1" thickBot="1">
      <c r="A78" s="1342" t="s">
        <v>646</v>
      </c>
      <c r="B78" s="1343" t="s">
        <v>639</v>
      </c>
      <c r="C78" s="1731"/>
      <c r="D78" s="1731"/>
      <c r="E78" s="1353">
        <v>50</v>
      </c>
      <c r="F78" s="1353"/>
      <c r="G78" s="1354" t="s">
        <v>637</v>
      </c>
      <c r="H78" s="365">
        <v>5867.769600000001</v>
      </c>
      <c r="I78" s="300" t="s">
        <v>3</v>
      </c>
      <c r="J78" s="2280">
        <v>117.35539200000002</v>
      </c>
      <c r="K78" s="2106"/>
      <c r="L78" s="266"/>
      <c r="M78" s="2290"/>
      <c r="N78" s="266"/>
      <c r="O78" s="266"/>
      <c r="P78" s="2290"/>
      <c r="Q78" s="266"/>
      <c r="R78" s="266"/>
      <c r="S78" s="2290"/>
    </row>
    <row r="79" spans="1:19" s="1211" customFormat="1" ht="24.75" customHeight="1">
      <c r="A79" s="1339" t="s">
        <v>647</v>
      </c>
      <c r="B79" s="1340" t="s">
        <v>639</v>
      </c>
      <c r="C79" s="1730">
        <v>140</v>
      </c>
      <c r="D79" s="1730">
        <v>2</v>
      </c>
      <c r="E79" s="1355">
        <v>25</v>
      </c>
      <c r="F79" s="1355"/>
      <c r="G79" s="1341" t="s">
        <v>636</v>
      </c>
      <c r="H79" s="362">
        <v>1472.2057350000002</v>
      </c>
      <c r="I79" s="150" t="s">
        <v>3</v>
      </c>
      <c r="J79" s="2281">
        <v>58.88822940000001</v>
      </c>
      <c r="K79" s="2106"/>
      <c r="L79" s="2235"/>
      <c r="M79" s="2290"/>
      <c r="N79" s="266"/>
      <c r="O79" s="2235"/>
      <c r="P79" s="2290"/>
      <c r="Q79" s="266"/>
      <c r="R79" s="2235"/>
      <c r="S79" s="2290"/>
    </row>
    <row r="80" spans="1:19" s="1211" customFormat="1" ht="24.75" customHeight="1" thickBot="1">
      <c r="A80" s="1356" t="s">
        <v>648</v>
      </c>
      <c r="B80" s="1357" t="s">
        <v>639</v>
      </c>
      <c r="C80" s="1731"/>
      <c r="D80" s="1731"/>
      <c r="E80" s="1353">
        <v>50</v>
      </c>
      <c r="F80" s="1353"/>
      <c r="G80" s="1345" t="s">
        <v>636</v>
      </c>
      <c r="H80" s="365">
        <v>2944.4114700000005</v>
      </c>
      <c r="I80" s="300" t="s">
        <v>3</v>
      </c>
      <c r="J80" s="2280">
        <v>58.88822940000001</v>
      </c>
      <c r="K80" s="2106"/>
      <c r="L80" s="266"/>
      <c r="M80" s="2290"/>
      <c r="N80" s="266"/>
      <c r="O80" s="266"/>
      <c r="P80" s="2290"/>
      <c r="Q80" s="266"/>
      <c r="R80" s="266"/>
      <c r="S80" s="2290"/>
    </row>
    <row r="81" spans="1:19" s="1178" customFormat="1" ht="21" customHeight="1" thickBot="1">
      <c r="A81" s="1358" t="s">
        <v>763</v>
      </c>
      <c r="B81" s="1359" t="s">
        <v>639</v>
      </c>
      <c r="C81" s="1675">
        <v>200</v>
      </c>
      <c r="D81" s="1675">
        <v>2</v>
      </c>
      <c r="E81" s="1107">
        <v>25</v>
      </c>
      <c r="F81" s="1341" t="s">
        <v>636</v>
      </c>
      <c r="G81" s="1341" t="s">
        <v>636</v>
      </c>
      <c r="H81" s="1360">
        <v>2260.008135</v>
      </c>
      <c r="I81" s="1361" t="s">
        <v>3</v>
      </c>
      <c r="J81" s="1362">
        <v>90.4003254</v>
      </c>
      <c r="K81" s="2304"/>
      <c r="L81" s="2292"/>
      <c r="M81" s="2293"/>
      <c r="N81" s="2291"/>
      <c r="O81" s="2292"/>
      <c r="P81" s="2293"/>
      <c r="Q81" s="2291"/>
      <c r="R81" s="2292"/>
      <c r="S81" s="2293"/>
    </row>
    <row r="82" spans="1:19" s="1134" customFormat="1" ht="18.75" customHeight="1" thickBot="1">
      <c r="A82" s="1356" t="s">
        <v>1094</v>
      </c>
      <c r="B82" s="1363" t="s">
        <v>639</v>
      </c>
      <c r="C82" s="1676"/>
      <c r="D82" s="1676"/>
      <c r="E82" s="1364">
        <v>50</v>
      </c>
      <c r="F82" s="1365"/>
      <c r="G82" s="1297" t="s">
        <v>636</v>
      </c>
      <c r="H82" s="1366">
        <v>4520.01627</v>
      </c>
      <c r="I82" s="1364" t="s">
        <v>3</v>
      </c>
      <c r="J82" s="2282">
        <v>90.4003254</v>
      </c>
      <c r="K82" s="2305"/>
      <c r="L82" s="2295"/>
      <c r="M82" s="2294"/>
      <c r="N82" s="2296"/>
      <c r="O82" s="2295"/>
      <c r="P82" s="2297"/>
      <c r="Q82" s="2296"/>
      <c r="R82" s="2295"/>
      <c r="S82" s="2297"/>
    </row>
    <row r="83" spans="11:19" ht="12.75">
      <c r="K83" s="2303"/>
      <c r="L83" s="2234"/>
      <c r="M83" s="2234"/>
      <c r="N83" s="2234"/>
      <c r="O83" s="2234"/>
      <c r="P83" s="2234"/>
      <c r="Q83" s="2234"/>
      <c r="R83" s="2234"/>
      <c r="S83" s="2234"/>
    </row>
    <row r="84" spans="5:19" s="1" customFormat="1" ht="27.75" customHeight="1" thickBot="1">
      <c r="E84" s="1678" t="s">
        <v>675</v>
      </c>
      <c r="F84" s="1678"/>
      <c r="G84" s="1678"/>
      <c r="K84" s="2306"/>
      <c r="L84" s="2298"/>
      <c r="M84" s="2298"/>
      <c r="N84" s="2298"/>
      <c r="O84" s="2298"/>
      <c r="P84" s="2298"/>
      <c r="Q84" s="2298"/>
      <c r="R84" s="2298"/>
      <c r="S84" s="2298"/>
    </row>
    <row r="85" spans="1:19" s="1" customFormat="1" ht="27.75" customHeight="1">
      <c r="A85" s="1739" t="s">
        <v>0</v>
      </c>
      <c r="B85" s="1741" t="s">
        <v>49</v>
      </c>
      <c r="C85" s="1743" t="s">
        <v>75</v>
      </c>
      <c r="D85" s="1745" t="s">
        <v>57</v>
      </c>
      <c r="E85" s="1743" t="s">
        <v>676</v>
      </c>
      <c r="F85" s="1728"/>
      <c r="G85" s="1679" t="s">
        <v>557</v>
      </c>
      <c r="H85" s="1671" t="s">
        <v>1239</v>
      </c>
      <c r="I85" s="1672"/>
      <c r="J85" s="1672"/>
      <c r="K85" s="2266"/>
      <c r="L85" s="2257"/>
      <c r="M85" s="2257"/>
      <c r="N85" s="2257"/>
      <c r="O85" s="2257"/>
      <c r="P85" s="2257"/>
      <c r="Q85" s="2257"/>
      <c r="R85" s="2257"/>
      <c r="S85" s="2257"/>
    </row>
    <row r="86" spans="1:19" s="1" customFormat="1" ht="27.75" customHeight="1" thickBot="1">
      <c r="A86" s="1740"/>
      <c r="B86" s="1742"/>
      <c r="C86" s="1744"/>
      <c r="D86" s="1746"/>
      <c r="E86" s="1744"/>
      <c r="F86" s="1729"/>
      <c r="G86" s="1680"/>
      <c r="H86" s="545" t="s">
        <v>693</v>
      </c>
      <c r="I86" s="546" t="s">
        <v>3</v>
      </c>
      <c r="J86" s="2283" t="s">
        <v>4</v>
      </c>
      <c r="K86" s="2106"/>
      <c r="L86" s="266"/>
      <c r="M86" s="2105"/>
      <c r="N86" s="266"/>
      <c r="O86" s="266"/>
      <c r="P86" s="2105"/>
      <c r="Q86" s="266"/>
      <c r="R86" s="266"/>
      <c r="S86" s="2105"/>
    </row>
    <row r="87" spans="1:24" s="1211" customFormat="1" ht="34.5" customHeight="1">
      <c r="A87" s="1520" t="s">
        <v>677</v>
      </c>
      <c r="B87" s="1521" t="s">
        <v>678</v>
      </c>
      <c r="C87" s="1522" t="s">
        <v>679</v>
      </c>
      <c r="D87" s="1523" t="s">
        <v>721</v>
      </c>
      <c r="E87" s="1524">
        <v>120</v>
      </c>
      <c r="F87" s="1525">
        <v>6</v>
      </c>
      <c r="G87" s="1526" t="s">
        <v>606</v>
      </c>
      <c r="H87" s="950">
        <f>U87*1.12*1.031*1.05</f>
        <v>198.60029279999998</v>
      </c>
      <c r="I87" s="1242" t="s">
        <v>3</v>
      </c>
      <c r="J87" s="2241">
        <f>H87/6</f>
        <v>33.100048799999996</v>
      </c>
      <c r="K87" s="2106"/>
      <c r="L87" s="2235"/>
      <c r="M87" s="2243"/>
      <c r="N87" s="266"/>
      <c r="O87" s="2235"/>
      <c r="P87" s="2243"/>
      <c r="Q87" s="266"/>
      <c r="R87" s="2235"/>
      <c r="S87" s="2243"/>
      <c r="U87" s="961">
        <v>163.79999999999998</v>
      </c>
      <c r="V87" s="961">
        <v>158.33999999999997</v>
      </c>
      <c r="W87" s="961">
        <v>152.87999999999997</v>
      </c>
      <c r="X87" s="961">
        <v>147.42</v>
      </c>
    </row>
    <row r="88" spans="1:24" s="1454" customFormat="1" ht="30.75">
      <c r="A88" s="1527" t="s">
        <v>1196</v>
      </c>
      <c r="B88" s="1378" t="s">
        <v>678</v>
      </c>
      <c r="C88" s="463" t="s">
        <v>1197</v>
      </c>
      <c r="D88" s="1347" t="s">
        <v>497</v>
      </c>
      <c r="E88" s="1369">
        <v>120</v>
      </c>
      <c r="F88" s="1528">
        <v>20</v>
      </c>
      <c r="G88" s="1529" t="s">
        <v>59</v>
      </c>
      <c r="H88" s="364">
        <f aca="true" t="shared" si="5" ref="H88:H101">U88*1.12*1.031*1.05</f>
        <v>662.000976</v>
      </c>
      <c r="I88" s="152" t="s">
        <v>3</v>
      </c>
      <c r="J88" s="2242">
        <f>H88/20</f>
        <v>33.1000488</v>
      </c>
      <c r="K88" s="2106"/>
      <c r="L88" s="2235"/>
      <c r="M88" s="2243"/>
      <c r="N88" s="266"/>
      <c r="O88" s="2235"/>
      <c r="P88" s="2243"/>
      <c r="Q88" s="266"/>
      <c r="R88" s="2235"/>
      <c r="S88" s="2243"/>
      <c r="U88" s="962">
        <v>546</v>
      </c>
      <c r="V88" s="962">
        <v>527.8</v>
      </c>
      <c r="W88" s="962">
        <v>509.59999999999997</v>
      </c>
      <c r="X88" s="962">
        <v>491.40000000000003</v>
      </c>
    </row>
    <row r="89" spans="1:24" s="1211" customFormat="1" ht="34.5" customHeight="1">
      <c r="A89" s="1530" t="s">
        <v>680</v>
      </c>
      <c r="B89" s="1367" t="s">
        <v>678</v>
      </c>
      <c r="C89" s="1368" t="s">
        <v>679</v>
      </c>
      <c r="D89" s="1531" t="s">
        <v>722</v>
      </c>
      <c r="E89" s="1532">
        <v>120</v>
      </c>
      <c r="F89" s="1533">
        <v>15</v>
      </c>
      <c r="G89" s="1352" t="s">
        <v>681</v>
      </c>
      <c r="H89" s="364">
        <f t="shared" si="5"/>
        <v>496.500732</v>
      </c>
      <c r="I89" s="152" t="s">
        <v>3</v>
      </c>
      <c r="J89" s="2242">
        <f>H89/15</f>
        <v>33.1000488</v>
      </c>
      <c r="K89" s="2106"/>
      <c r="L89" s="2235"/>
      <c r="M89" s="2243"/>
      <c r="N89" s="266"/>
      <c r="O89" s="2235"/>
      <c r="P89" s="2243"/>
      <c r="Q89" s="266"/>
      <c r="R89" s="2235"/>
      <c r="S89" s="2243"/>
      <c r="U89" s="967">
        <v>409.5</v>
      </c>
      <c r="V89" s="967">
        <v>395.84999999999997</v>
      </c>
      <c r="W89" s="967">
        <v>382.2</v>
      </c>
      <c r="X89" s="967">
        <v>368.55</v>
      </c>
    </row>
    <row r="90" spans="1:24" s="1211" customFormat="1" ht="34.5" customHeight="1">
      <c r="A90" s="1530" t="s">
        <v>682</v>
      </c>
      <c r="B90" s="1367" t="s">
        <v>678</v>
      </c>
      <c r="C90" s="1368" t="s">
        <v>679</v>
      </c>
      <c r="D90" s="1531" t="s">
        <v>723</v>
      </c>
      <c r="E90" s="1532">
        <v>120</v>
      </c>
      <c r="F90" s="1533">
        <v>24</v>
      </c>
      <c r="G90" s="1352" t="s">
        <v>683</v>
      </c>
      <c r="H90" s="364">
        <f t="shared" si="5"/>
        <v>794.4011711999999</v>
      </c>
      <c r="I90" s="152" t="s">
        <v>3</v>
      </c>
      <c r="J90" s="2242">
        <f>H90/24</f>
        <v>33.100048799999996</v>
      </c>
      <c r="K90" s="2106"/>
      <c r="L90" s="2235"/>
      <c r="M90" s="2243"/>
      <c r="N90" s="266"/>
      <c r="O90" s="2235"/>
      <c r="P90" s="2243"/>
      <c r="Q90" s="266"/>
      <c r="R90" s="2235"/>
      <c r="S90" s="2243"/>
      <c r="U90" s="962">
        <v>655.1999999999999</v>
      </c>
      <c r="V90" s="962">
        <v>633.3599999999999</v>
      </c>
      <c r="W90" s="962">
        <v>611.5199999999999</v>
      </c>
      <c r="X90" s="962">
        <v>589.68</v>
      </c>
    </row>
    <row r="91" spans="1:24" s="998" customFormat="1" ht="27.75" customHeight="1">
      <c r="A91" s="1530" t="s">
        <v>785</v>
      </c>
      <c r="B91" s="1367" t="s">
        <v>678</v>
      </c>
      <c r="C91" s="1534" t="s">
        <v>679</v>
      </c>
      <c r="D91" s="1369" t="s">
        <v>723</v>
      </c>
      <c r="E91" s="1369">
        <v>120</v>
      </c>
      <c r="F91" s="1368">
        <v>32</v>
      </c>
      <c r="G91" s="1352" t="s">
        <v>786</v>
      </c>
      <c r="H91" s="364">
        <f t="shared" si="5"/>
        <v>1059.2015616</v>
      </c>
      <c r="I91" s="152" t="s">
        <v>3</v>
      </c>
      <c r="J91" s="2242">
        <f>H91/32</f>
        <v>33.1000488</v>
      </c>
      <c r="K91" s="2106"/>
      <c r="L91" s="2235"/>
      <c r="M91" s="2243"/>
      <c r="N91" s="266"/>
      <c r="O91" s="2235"/>
      <c r="P91" s="2243"/>
      <c r="Q91" s="266"/>
      <c r="R91" s="2235"/>
      <c r="S91" s="2243"/>
      <c r="U91" s="962">
        <v>873.5999999999999</v>
      </c>
      <c r="V91" s="962">
        <v>844.4799999999999</v>
      </c>
      <c r="W91" s="962">
        <v>815.3599999999999</v>
      </c>
      <c r="X91" s="962">
        <v>786.24</v>
      </c>
    </row>
    <row r="92" spans="1:24" s="998" customFormat="1" ht="27.75" customHeight="1">
      <c r="A92" s="1530" t="s">
        <v>1198</v>
      </c>
      <c r="B92" s="1367" t="s">
        <v>678</v>
      </c>
      <c r="C92" s="1534" t="s">
        <v>1197</v>
      </c>
      <c r="D92" s="1369" t="s">
        <v>497</v>
      </c>
      <c r="E92" s="1369">
        <v>120</v>
      </c>
      <c r="F92" s="1368">
        <v>30</v>
      </c>
      <c r="G92" s="1352" t="s">
        <v>1199</v>
      </c>
      <c r="H92" s="364">
        <f t="shared" si="5"/>
        <v>993.001464</v>
      </c>
      <c r="I92" s="152" t="s">
        <v>3</v>
      </c>
      <c r="J92" s="2242">
        <f>H92/30</f>
        <v>33.1000488</v>
      </c>
      <c r="K92" s="2106"/>
      <c r="L92" s="2235"/>
      <c r="M92" s="2243"/>
      <c r="N92" s="266"/>
      <c r="O92" s="2235"/>
      <c r="P92" s="2243"/>
      <c r="Q92" s="266"/>
      <c r="R92" s="2235"/>
      <c r="S92" s="2243"/>
      <c r="U92" s="962">
        <v>819</v>
      </c>
      <c r="V92" s="962">
        <v>791.6999999999999</v>
      </c>
      <c r="W92" s="962">
        <v>764.4</v>
      </c>
      <c r="X92" s="962">
        <v>737.1</v>
      </c>
    </row>
    <row r="93" spans="1:24" s="998" customFormat="1" ht="27.75" customHeight="1">
      <c r="A93" s="1530" t="s">
        <v>787</v>
      </c>
      <c r="B93" s="1367" t="s">
        <v>678</v>
      </c>
      <c r="C93" s="1534" t="s">
        <v>679</v>
      </c>
      <c r="D93" s="1352" t="s">
        <v>723</v>
      </c>
      <c r="E93" s="1369">
        <v>120</v>
      </c>
      <c r="F93" s="1368">
        <v>48</v>
      </c>
      <c r="G93" s="1352" t="s">
        <v>26</v>
      </c>
      <c r="H93" s="364">
        <f t="shared" si="5"/>
        <v>1588.8023423999998</v>
      </c>
      <c r="I93" s="152" t="s">
        <v>3</v>
      </c>
      <c r="J93" s="2242">
        <f>H93/48</f>
        <v>33.100048799999996</v>
      </c>
      <c r="K93" s="2106"/>
      <c r="L93" s="2235"/>
      <c r="M93" s="2243"/>
      <c r="N93" s="266"/>
      <c r="O93" s="2235"/>
      <c r="P93" s="2243"/>
      <c r="Q93" s="266"/>
      <c r="R93" s="2235"/>
      <c r="S93" s="2243"/>
      <c r="U93" s="962">
        <v>1310.3999999999999</v>
      </c>
      <c r="V93" s="962">
        <v>1266.7199999999998</v>
      </c>
      <c r="W93" s="962">
        <v>1223.0399999999997</v>
      </c>
      <c r="X93" s="962">
        <v>1179.36</v>
      </c>
    </row>
    <row r="94" spans="1:24" s="998" customFormat="1" ht="27.75" customHeight="1">
      <c r="A94" s="1530" t="s">
        <v>788</v>
      </c>
      <c r="B94" s="1367" t="s">
        <v>678</v>
      </c>
      <c r="C94" s="1534" t="s">
        <v>679</v>
      </c>
      <c r="D94" s="1352" t="s">
        <v>724</v>
      </c>
      <c r="E94" s="1369">
        <v>120</v>
      </c>
      <c r="F94" s="1368">
        <v>80</v>
      </c>
      <c r="G94" s="1352" t="s">
        <v>789</v>
      </c>
      <c r="H94" s="364">
        <f t="shared" si="5"/>
        <v>2648.003904</v>
      </c>
      <c r="I94" s="152" t="s">
        <v>3</v>
      </c>
      <c r="J94" s="2242">
        <f>H94/80</f>
        <v>33.1000488</v>
      </c>
      <c r="K94" s="2106"/>
      <c r="L94" s="2235"/>
      <c r="M94" s="2243"/>
      <c r="N94" s="266"/>
      <c r="O94" s="2235"/>
      <c r="P94" s="2243"/>
      <c r="Q94" s="266"/>
      <c r="R94" s="2235"/>
      <c r="S94" s="2243"/>
      <c r="U94" s="962">
        <v>2184</v>
      </c>
      <c r="V94" s="962">
        <v>2111.2</v>
      </c>
      <c r="W94" s="962">
        <v>2038.3999999999999</v>
      </c>
      <c r="X94" s="962">
        <v>1965.6000000000001</v>
      </c>
    </row>
    <row r="95" spans="1:24" s="1211" customFormat="1" ht="34.5" customHeight="1">
      <c r="A95" s="1530" t="s">
        <v>684</v>
      </c>
      <c r="B95" s="1367" t="s">
        <v>678</v>
      </c>
      <c r="C95" s="1368" t="s">
        <v>679</v>
      </c>
      <c r="D95" s="1531" t="s">
        <v>724</v>
      </c>
      <c r="E95" s="1532">
        <v>120</v>
      </c>
      <c r="F95" s="1533">
        <v>96</v>
      </c>
      <c r="G95" s="1352" t="s">
        <v>685</v>
      </c>
      <c r="H95" s="364">
        <f t="shared" si="5"/>
        <v>3177.6046847999996</v>
      </c>
      <c r="I95" s="152" t="s">
        <v>3</v>
      </c>
      <c r="J95" s="2242">
        <f>H95/96</f>
        <v>33.100048799999996</v>
      </c>
      <c r="K95" s="2106"/>
      <c r="L95" s="2235"/>
      <c r="M95" s="2243"/>
      <c r="N95" s="266"/>
      <c r="O95" s="2235"/>
      <c r="P95" s="2243"/>
      <c r="Q95" s="266"/>
      <c r="R95" s="2235"/>
      <c r="S95" s="2243"/>
      <c r="U95" s="962">
        <v>2620.7999999999997</v>
      </c>
      <c r="V95" s="962">
        <v>2533.4399999999996</v>
      </c>
      <c r="W95" s="962">
        <v>2446.0799999999995</v>
      </c>
      <c r="X95" s="962">
        <v>2358.72</v>
      </c>
    </row>
    <row r="96" spans="1:24" s="1211" customFormat="1" ht="34.5" customHeight="1">
      <c r="A96" s="1535" t="s">
        <v>686</v>
      </c>
      <c r="B96" s="1536" t="s">
        <v>678</v>
      </c>
      <c r="C96" s="1537" t="s">
        <v>679</v>
      </c>
      <c r="D96" s="1538" t="s">
        <v>725</v>
      </c>
      <c r="E96" s="1539">
        <v>120</v>
      </c>
      <c r="F96" s="1540">
        <v>150</v>
      </c>
      <c r="G96" s="1354" t="s">
        <v>687</v>
      </c>
      <c r="H96" s="364">
        <f t="shared" si="5"/>
        <v>4965.007320000001</v>
      </c>
      <c r="I96" s="152" t="s">
        <v>3</v>
      </c>
      <c r="J96" s="2242">
        <f>H96/150</f>
        <v>33.1000488</v>
      </c>
      <c r="K96" s="2106"/>
      <c r="L96" s="2235"/>
      <c r="M96" s="2243"/>
      <c r="N96" s="266"/>
      <c r="O96" s="2235"/>
      <c r="P96" s="2243"/>
      <c r="Q96" s="266"/>
      <c r="R96" s="2235"/>
      <c r="S96" s="2243"/>
      <c r="U96" s="967">
        <v>4095</v>
      </c>
      <c r="V96" s="967">
        <v>3958.5</v>
      </c>
      <c r="W96" s="967">
        <v>3821.9999999999995</v>
      </c>
      <c r="X96" s="967">
        <v>3685.5000000000005</v>
      </c>
    </row>
    <row r="97" spans="1:24" s="1211" customFormat="1" ht="34.5" customHeight="1">
      <c r="A97" s="1535" t="s">
        <v>1200</v>
      </c>
      <c r="B97" s="1536" t="s">
        <v>678</v>
      </c>
      <c r="C97" s="1537" t="s">
        <v>1197</v>
      </c>
      <c r="D97" s="1538" t="s">
        <v>497</v>
      </c>
      <c r="E97" s="1537">
        <v>120</v>
      </c>
      <c r="F97" s="1537">
        <v>200</v>
      </c>
      <c r="G97" s="1354" t="s">
        <v>1201</v>
      </c>
      <c r="H97" s="364">
        <f t="shared" si="5"/>
        <v>6620.009760000001</v>
      </c>
      <c r="I97" s="152" t="s">
        <v>3</v>
      </c>
      <c r="J97" s="2242">
        <f>H97/200</f>
        <v>33.1000488</v>
      </c>
      <c r="K97" s="2106"/>
      <c r="L97" s="2235"/>
      <c r="M97" s="2243"/>
      <c r="N97" s="266"/>
      <c r="O97" s="2235"/>
      <c r="P97" s="2243"/>
      <c r="Q97" s="266"/>
      <c r="R97" s="2235"/>
      <c r="S97" s="2243"/>
      <c r="U97" s="967">
        <v>5460</v>
      </c>
      <c r="V97" s="967">
        <v>5278</v>
      </c>
      <c r="W97" s="967">
        <v>5096</v>
      </c>
      <c r="X97" s="967">
        <v>4914</v>
      </c>
    </row>
    <row r="98" spans="1:24" s="1211" customFormat="1" ht="34.5" customHeight="1">
      <c r="A98" s="1535" t="s">
        <v>1202</v>
      </c>
      <c r="B98" s="1536" t="s">
        <v>678</v>
      </c>
      <c r="C98" s="1537" t="s">
        <v>1197</v>
      </c>
      <c r="D98" s="1538" t="s">
        <v>497</v>
      </c>
      <c r="E98" s="1537">
        <v>120</v>
      </c>
      <c r="F98" s="1537">
        <v>225</v>
      </c>
      <c r="G98" s="1354" t="s">
        <v>33</v>
      </c>
      <c r="H98" s="364">
        <f t="shared" si="5"/>
        <v>7447.51098</v>
      </c>
      <c r="I98" s="152" t="s">
        <v>3</v>
      </c>
      <c r="J98" s="2242">
        <f>H98/225</f>
        <v>33.1000488</v>
      </c>
      <c r="K98" s="2106"/>
      <c r="L98" s="2235"/>
      <c r="M98" s="2243"/>
      <c r="N98" s="266"/>
      <c r="O98" s="2235"/>
      <c r="P98" s="2243"/>
      <c r="Q98" s="266"/>
      <c r="R98" s="2235"/>
      <c r="S98" s="2243"/>
      <c r="U98" s="967">
        <v>6142.5</v>
      </c>
      <c r="V98" s="967">
        <v>5937.75</v>
      </c>
      <c r="W98" s="967">
        <v>5733</v>
      </c>
      <c r="X98" s="967">
        <v>5528.25</v>
      </c>
    </row>
    <row r="99" spans="1:24" s="1211" customFormat="1" ht="34.5" customHeight="1">
      <c r="A99" s="1535" t="s">
        <v>1203</v>
      </c>
      <c r="B99" s="1536" t="s">
        <v>678</v>
      </c>
      <c r="C99" s="1537" t="s">
        <v>1197</v>
      </c>
      <c r="D99" s="1538" t="s">
        <v>497</v>
      </c>
      <c r="E99" s="1537">
        <v>120</v>
      </c>
      <c r="F99" s="1537">
        <v>300</v>
      </c>
      <c r="G99" s="1354" t="s">
        <v>1204</v>
      </c>
      <c r="H99" s="364">
        <f t="shared" si="5"/>
        <v>9930.014640000001</v>
      </c>
      <c r="I99" s="152" t="s">
        <v>3</v>
      </c>
      <c r="J99" s="2242">
        <f>H99/300</f>
        <v>33.1000488</v>
      </c>
      <c r="K99" s="2106"/>
      <c r="L99" s="2235"/>
      <c r="M99" s="2243"/>
      <c r="N99" s="266"/>
      <c r="O99" s="2235"/>
      <c r="P99" s="2243"/>
      <c r="Q99" s="266"/>
      <c r="R99" s="2235"/>
      <c r="S99" s="2243"/>
      <c r="U99" s="967">
        <v>8190</v>
      </c>
      <c r="V99" s="967">
        <v>7917</v>
      </c>
      <c r="W99" s="967">
        <v>7643.999999999999</v>
      </c>
      <c r="X99" s="967">
        <v>7371.000000000001</v>
      </c>
    </row>
    <row r="100" spans="1:24" s="1211" customFormat="1" ht="27.75" customHeight="1">
      <c r="A100" s="1530" t="s">
        <v>766</v>
      </c>
      <c r="B100" s="1367" t="s">
        <v>678</v>
      </c>
      <c r="C100" s="1534" t="s">
        <v>767</v>
      </c>
      <c r="D100" s="1369" t="s">
        <v>723</v>
      </c>
      <c r="E100" s="1369">
        <v>180</v>
      </c>
      <c r="F100" s="1368"/>
      <c r="G100" s="1352" t="s">
        <v>683</v>
      </c>
      <c r="H100" s="364">
        <f t="shared" si="5"/>
        <v>1221.108086016</v>
      </c>
      <c r="I100" s="152" t="s">
        <v>3</v>
      </c>
      <c r="J100" s="2242">
        <f>H100/24</f>
        <v>50.879503584</v>
      </c>
      <c r="K100" s="2106"/>
      <c r="L100" s="2235"/>
      <c r="M100" s="2243"/>
      <c r="N100" s="266"/>
      <c r="O100" s="2235"/>
      <c r="P100" s="2243"/>
      <c r="Q100" s="266"/>
      <c r="R100" s="2235"/>
      <c r="S100" s="2243"/>
      <c r="U100" s="967">
        <v>1007.136</v>
      </c>
      <c r="V100" s="967">
        <v>973.5648</v>
      </c>
      <c r="W100" s="967">
        <v>939.9935999999999</v>
      </c>
      <c r="X100" s="967">
        <v>906.4224</v>
      </c>
    </row>
    <row r="101" spans="1:24" s="998" customFormat="1" ht="24" customHeight="1">
      <c r="A101" s="1541" t="s">
        <v>790</v>
      </c>
      <c r="B101" s="1542" t="s">
        <v>678</v>
      </c>
      <c r="C101" s="1543" t="s">
        <v>767</v>
      </c>
      <c r="D101" s="1544" t="s">
        <v>791</v>
      </c>
      <c r="E101" s="1545">
        <v>180</v>
      </c>
      <c r="F101" s="1546">
        <v>48</v>
      </c>
      <c r="G101" s="1544" t="s">
        <v>26</v>
      </c>
      <c r="H101" s="364">
        <f t="shared" si="5"/>
        <v>2442.216172032</v>
      </c>
      <c r="I101" s="152" t="s">
        <v>3</v>
      </c>
      <c r="J101" s="2242">
        <f>H101/48</f>
        <v>50.879503584</v>
      </c>
      <c r="K101" s="2106"/>
      <c r="L101" s="2235"/>
      <c r="M101" s="2243"/>
      <c r="N101" s="266"/>
      <c r="O101" s="2235"/>
      <c r="P101" s="2243"/>
      <c r="Q101" s="266"/>
      <c r="R101" s="2235"/>
      <c r="S101" s="2243"/>
      <c r="U101" s="1212">
        <v>2014.272</v>
      </c>
      <c r="V101" s="1212">
        <v>1947.1296</v>
      </c>
      <c r="W101" s="1212">
        <v>1879.9871999999998</v>
      </c>
      <c r="X101" s="1212">
        <v>1812.8448</v>
      </c>
    </row>
    <row r="102" spans="1:24" s="998" customFormat="1" ht="20.25" customHeight="1">
      <c r="A102" s="1370" t="s">
        <v>1111</v>
      </c>
      <c r="B102" s="1367" t="s">
        <v>1112</v>
      </c>
      <c r="C102" s="1369" t="s">
        <v>1113</v>
      </c>
      <c r="D102" s="1352" t="s">
        <v>58</v>
      </c>
      <c r="E102" s="1371">
        <v>120</v>
      </c>
      <c r="F102" s="1368">
        <v>100</v>
      </c>
      <c r="G102" s="1352" t="s">
        <v>136</v>
      </c>
      <c r="H102" s="364">
        <f>U102*1.12*1.031*1.05</f>
        <v>2761.4897856000007</v>
      </c>
      <c r="I102" s="152" t="s">
        <v>3</v>
      </c>
      <c r="J102" s="2242">
        <f>H102/100</f>
        <v>27.614897856000006</v>
      </c>
      <c r="K102" s="2106"/>
      <c r="L102" s="2235"/>
      <c r="M102" s="2243"/>
      <c r="N102" s="266"/>
      <c r="O102" s="2235"/>
      <c r="P102" s="2243"/>
      <c r="Q102" s="266"/>
      <c r="R102" s="2235"/>
      <c r="S102" s="2243"/>
      <c r="U102" s="967">
        <v>2277.6000000000004</v>
      </c>
      <c r="V102" s="967">
        <v>2201.6800000000003</v>
      </c>
      <c r="W102" s="967">
        <v>2125.76</v>
      </c>
      <c r="X102" s="967">
        <v>2049.84</v>
      </c>
    </row>
    <row r="103" spans="1:24" s="998" customFormat="1" ht="20.25" customHeight="1" thickBot="1">
      <c r="A103" s="1372" t="s">
        <v>1114</v>
      </c>
      <c r="B103" s="1373" t="s">
        <v>1112</v>
      </c>
      <c r="C103" s="1345" t="s">
        <v>767</v>
      </c>
      <c r="D103" s="1374" t="s">
        <v>58</v>
      </c>
      <c r="E103" s="1375">
        <v>180</v>
      </c>
      <c r="F103" s="1376">
        <v>100</v>
      </c>
      <c r="G103" s="1374" t="s">
        <v>136</v>
      </c>
      <c r="H103" s="366">
        <f>U103*1.12*1.031*1.05</f>
        <v>4085.4917376000008</v>
      </c>
      <c r="I103" s="299" t="s">
        <v>3</v>
      </c>
      <c r="J103" s="1049">
        <f>H103/100</f>
        <v>40.85491737600001</v>
      </c>
      <c r="K103" s="2106"/>
      <c r="L103" s="2235"/>
      <c r="M103" s="2243"/>
      <c r="N103" s="266"/>
      <c r="O103" s="2235"/>
      <c r="P103" s="2243"/>
      <c r="Q103" s="266"/>
      <c r="R103" s="2235"/>
      <c r="S103" s="2243"/>
      <c r="U103" s="968">
        <v>3369.6000000000004</v>
      </c>
      <c r="V103" s="968">
        <v>3257.28</v>
      </c>
      <c r="W103" s="968">
        <v>3144.96</v>
      </c>
      <c r="X103" s="968">
        <v>3032.6400000000003</v>
      </c>
    </row>
    <row r="104" spans="1:19" s="1" customFormat="1" ht="27.75" customHeight="1">
      <c r="A104" s="1210" t="s">
        <v>1115</v>
      </c>
      <c r="B104" s="368"/>
      <c r="E104" s="368"/>
      <c r="F104" s="368"/>
      <c r="G104" s="368"/>
      <c r="K104" s="2306"/>
      <c r="L104" s="2298"/>
      <c r="M104" s="2298"/>
      <c r="N104" s="2298"/>
      <c r="O104" s="2298"/>
      <c r="P104" s="2298"/>
      <c r="Q104" s="2298"/>
      <c r="R104" s="2298"/>
      <c r="S104" s="2298"/>
    </row>
    <row r="105" spans="5:19" s="1" customFormat="1" ht="27.75" customHeight="1">
      <c r="E105" s="368"/>
      <c r="F105" s="368"/>
      <c r="G105" s="368"/>
      <c r="K105" s="2306"/>
      <c r="L105" s="2298"/>
      <c r="M105" s="2298"/>
      <c r="N105" s="2298"/>
      <c r="O105" s="2298"/>
      <c r="P105" s="2298"/>
      <c r="Q105" s="2298"/>
      <c r="R105" s="2298"/>
      <c r="S105" s="2298"/>
    </row>
    <row r="106" spans="1:19" s="575" customFormat="1" ht="15.75">
      <c r="A106" s="1677" t="s">
        <v>1116</v>
      </c>
      <c r="B106" s="1677"/>
      <c r="C106" s="1677"/>
      <c r="D106" s="1677"/>
      <c r="E106" s="1677"/>
      <c r="F106" s="1677"/>
      <c r="G106" s="1677"/>
      <c r="H106" s="1677"/>
      <c r="I106" s="1677"/>
      <c r="J106" s="1677"/>
      <c r="K106" s="2313"/>
      <c r="L106" s="2313"/>
      <c r="M106" s="2313"/>
      <c r="N106" s="2313"/>
      <c r="O106" s="2313"/>
      <c r="P106" s="2236"/>
      <c r="Q106" s="1127"/>
      <c r="R106" s="1127"/>
      <c r="S106" s="1127"/>
    </row>
    <row r="107" spans="1:19" s="575" customFormat="1" ht="15" thickBot="1">
      <c r="A107" s="1127"/>
      <c r="B107" s="1127"/>
      <c r="C107" s="1127"/>
      <c r="D107" s="1127"/>
      <c r="E107" s="1127"/>
      <c r="F107" s="1127"/>
      <c r="G107" s="1127"/>
      <c r="H107" s="1127"/>
      <c r="I107" s="1127"/>
      <c r="J107" s="1127"/>
      <c r="K107" s="1127"/>
      <c r="L107" s="1127"/>
      <c r="M107" s="1127"/>
      <c r="N107" s="2236"/>
      <c r="O107" s="2236"/>
      <c r="P107" s="2236"/>
      <c r="Q107" s="1127"/>
      <c r="R107" s="1127"/>
      <c r="S107" s="1127"/>
    </row>
    <row r="108" spans="1:19" s="575" customFormat="1" ht="15" customHeight="1">
      <c r="A108" s="1681" t="s">
        <v>0</v>
      </c>
      <c r="B108" s="1683" t="s">
        <v>49</v>
      </c>
      <c r="C108" s="1685" t="s">
        <v>75</v>
      </c>
      <c r="D108" s="1685" t="s">
        <v>57</v>
      </c>
      <c r="E108" s="1685" t="s">
        <v>1117</v>
      </c>
      <c r="F108" s="1687" t="s">
        <v>24</v>
      </c>
      <c r="G108" s="1688"/>
      <c r="H108" s="1671" t="s">
        <v>1239</v>
      </c>
      <c r="I108" s="1672"/>
      <c r="J108" s="1672"/>
      <c r="K108" s="2266"/>
      <c r="L108" s="2257"/>
      <c r="M108" s="2257"/>
      <c r="N108" s="2257"/>
      <c r="O108" s="2257"/>
      <c r="P108" s="2257"/>
      <c r="Q108" s="2257"/>
      <c r="R108" s="2257"/>
      <c r="S108" s="2257"/>
    </row>
    <row r="109" spans="1:19" s="575" customFormat="1" ht="30.75" customHeight="1" thickBot="1">
      <c r="A109" s="1682"/>
      <c r="B109" s="1684"/>
      <c r="C109" s="1686"/>
      <c r="D109" s="1686"/>
      <c r="E109" s="1686"/>
      <c r="F109" s="1689"/>
      <c r="G109" s="1690"/>
      <c r="H109" s="545" t="s">
        <v>693</v>
      </c>
      <c r="I109" s="546" t="s">
        <v>3</v>
      </c>
      <c r="J109" s="2283" t="s">
        <v>633</v>
      </c>
      <c r="K109" s="2106"/>
      <c r="L109" s="266"/>
      <c r="M109" s="2105"/>
      <c r="N109" s="266"/>
      <c r="O109" s="266"/>
      <c r="P109" s="2105"/>
      <c r="Q109" s="266"/>
      <c r="R109" s="266"/>
      <c r="S109" s="2105"/>
    </row>
    <row r="110" spans="1:24" s="998" customFormat="1" ht="27" customHeight="1">
      <c r="A110" s="1377" t="s">
        <v>1118</v>
      </c>
      <c r="B110" s="1378" t="s">
        <v>1116</v>
      </c>
      <c r="C110" s="1347" t="s">
        <v>160</v>
      </c>
      <c r="D110" s="1347" t="s">
        <v>58</v>
      </c>
      <c r="E110" s="1341" t="s">
        <v>1119</v>
      </c>
      <c r="F110" s="1673" t="s">
        <v>1120</v>
      </c>
      <c r="G110" s="1674"/>
      <c r="H110" s="324">
        <f>U110*1.12*1.05*1.165</f>
        <v>217.26113381426094</v>
      </c>
      <c r="I110" s="22" t="s">
        <v>3</v>
      </c>
      <c r="J110" s="1130">
        <f>H110/10</f>
        <v>21.726113381426096</v>
      </c>
      <c r="K110" s="2090"/>
      <c r="L110" s="658"/>
      <c r="M110" s="628"/>
      <c r="N110" s="629"/>
      <c r="O110" s="658"/>
      <c r="P110" s="628"/>
      <c r="Q110" s="629"/>
      <c r="R110" s="630"/>
      <c r="S110" s="628"/>
      <c r="U110" s="1213">
        <v>158.58013913043482</v>
      </c>
      <c r="V110" s="1214">
        <v>152.21633909999997</v>
      </c>
      <c r="W110" s="1215">
        <v>146.1308814</v>
      </c>
      <c r="X110" s="1215">
        <v>139.79241779999998</v>
      </c>
    </row>
    <row r="111" spans="1:24" s="998" customFormat="1" ht="27" customHeight="1">
      <c r="A111" s="1370" t="s">
        <v>1121</v>
      </c>
      <c r="B111" s="1367" t="s">
        <v>1116</v>
      </c>
      <c r="C111" s="1369" t="s">
        <v>160</v>
      </c>
      <c r="D111" s="1369" t="s">
        <v>58</v>
      </c>
      <c r="E111" s="1347" t="s">
        <v>1119</v>
      </c>
      <c r="F111" s="1665" t="s">
        <v>1122</v>
      </c>
      <c r="G111" s="1666"/>
      <c r="H111" s="1254">
        <f>U111*1.12*1.05*1.165</f>
        <v>994.0813271930438</v>
      </c>
      <c r="I111" s="24" t="s">
        <v>3</v>
      </c>
      <c r="J111" s="2065">
        <f>H111/50</f>
        <v>19.881626543860875</v>
      </c>
      <c r="K111" s="2090"/>
      <c r="L111" s="658"/>
      <c r="M111" s="628"/>
      <c r="N111" s="629"/>
      <c r="O111" s="658"/>
      <c r="P111" s="628"/>
      <c r="Q111" s="629"/>
      <c r="R111" s="630"/>
      <c r="S111" s="628"/>
      <c r="U111" s="1216">
        <v>725.585623188406</v>
      </c>
      <c r="V111" s="1217">
        <v>696.467968</v>
      </c>
      <c r="W111" s="1218">
        <v>668.623872</v>
      </c>
      <c r="X111" s="1218">
        <v>639.622144</v>
      </c>
    </row>
    <row r="112" spans="1:24" s="998" customFormat="1" ht="27" customHeight="1">
      <c r="A112" s="1370" t="s">
        <v>1123</v>
      </c>
      <c r="B112" s="1367" t="s">
        <v>1116</v>
      </c>
      <c r="C112" s="1369" t="s">
        <v>160</v>
      </c>
      <c r="D112" s="1369" t="s">
        <v>58</v>
      </c>
      <c r="E112" s="1347" t="s">
        <v>1119</v>
      </c>
      <c r="F112" s="1667" t="s">
        <v>1124</v>
      </c>
      <c r="G112" s="1668"/>
      <c r="H112" s="330">
        <f>U112*1.12*1.05*1.165</f>
        <v>411.4176430316523</v>
      </c>
      <c r="I112" s="23" t="s">
        <v>3</v>
      </c>
      <c r="J112" s="1131">
        <f>H112/10</f>
        <v>41.14176430316523</v>
      </c>
      <c r="K112" s="2090"/>
      <c r="L112" s="658"/>
      <c r="M112" s="628"/>
      <c r="N112" s="629"/>
      <c r="O112" s="658"/>
      <c r="P112" s="628"/>
      <c r="Q112" s="629"/>
      <c r="R112" s="630"/>
      <c r="S112" s="628"/>
      <c r="U112" s="1219">
        <v>300.29608115942034</v>
      </c>
      <c r="V112" s="1220">
        <v>288.2452391</v>
      </c>
      <c r="W112" s="1221">
        <v>276.7214814</v>
      </c>
      <c r="X112" s="1221">
        <v>264.7186178</v>
      </c>
    </row>
    <row r="113" spans="1:24" s="998" customFormat="1" ht="27" customHeight="1" thickBot="1">
      <c r="A113" s="1379" t="s">
        <v>1125</v>
      </c>
      <c r="B113" s="1380" t="s">
        <v>1116</v>
      </c>
      <c r="C113" s="1381" t="s">
        <v>160</v>
      </c>
      <c r="D113" s="1381" t="s">
        <v>58</v>
      </c>
      <c r="E113" s="1345" t="s">
        <v>1119</v>
      </c>
      <c r="F113" s="1669" t="s">
        <v>1126</v>
      </c>
      <c r="G113" s="1670"/>
      <c r="H113" s="327">
        <f>U113*1.12*1.05*1.165</f>
        <v>1970.1175200000002</v>
      </c>
      <c r="I113" s="72" t="s">
        <v>3</v>
      </c>
      <c r="J113" s="1129">
        <f>H113/50</f>
        <v>39.4023504</v>
      </c>
      <c r="K113" s="2090"/>
      <c r="L113" s="658"/>
      <c r="M113" s="628"/>
      <c r="N113" s="629"/>
      <c r="O113" s="658"/>
      <c r="P113" s="628"/>
      <c r="Q113" s="629"/>
      <c r="R113" s="630"/>
      <c r="S113" s="628"/>
      <c r="U113" s="1222">
        <v>1438</v>
      </c>
      <c r="V113" s="1223">
        <v>1380.29325</v>
      </c>
      <c r="W113" s="1224">
        <v>1325.1105</v>
      </c>
      <c r="X113" s="1224">
        <v>1267.6335</v>
      </c>
    </row>
  </sheetData>
  <sheetProtection/>
  <mergeCells count="71">
    <mergeCell ref="A106:J106"/>
    <mergeCell ref="A4:J4"/>
    <mergeCell ref="C1:F3"/>
    <mergeCell ref="H5:J6"/>
    <mergeCell ref="A54:J54"/>
    <mergeCell ref="H56:J57"/>
    <mergeCell ref="Q85:S85"/>
    <mergeCell ref="A85:A86"/>
    <mergeCell ref="B85:B86"/>
    <mergeCell ref="C85:C86"/>
    <mergeCell ref="D85:D86"/>
    <mergeCell ref="E85:E86"/>
    <mergeCell ref="C79:C80"/>
    <mergeCell ref="D79:D80"/>
    <mergeCell ref="C71:C72"/>
    <mergeCell ref="D71:D72"/>
    <mergeCell ref="C73:C78"/>
    <mergeCell ref="D75:D76"/>
    <mergeCell ref="D77:D78"/>
    <mergeCell ref="D73:D74"/>
    <mergeCell ref="C69:C70"/>
    <mergeCell ref="D69:D70"/>
    <mergeCell ref="F69:F70"/>
    <mergeCell ref="E69:E70"/>
    <mergeCell ref="G69:G70"/>
    <mergeCell ref="H69:J69"/>
    <mergeCell ref="N69:P69"/>
    <mergeCell ref="Q69:S69"/>
    <mergeCell ref="D56:D58"/>
    <mergeCell ref="K69:M69"/>
    <mergeCell ref="K57:M57"/>
    <mergeCell ref="E56:E58"/>
    <mergeCell ref="G56:G58"/>
    <mergeCell ref="Q57:S57"/>
    <mergeCell ref="N57:P57"/>
    <mergeCell ref="Q6:S6"/>
    <mergeCell ref="K6:M6"/>
    <mergeCell ref="D5:D7"/>
    <mergeCell ref="G5:G7"/>
    <mergeCell ref="A56:A58"/>
    <mergeCell ref="N6:P6"/>
    <mergeCell ref="C5:C7"/>
    <mergeCell ref="A69:A70"/>
    <mergeCell ref="B69:B70"/>
    <mergeCell ref="A5:A7"/>
    <mergeCell ref="B5:B7"/>
    <mergeCell ref="E5:E7"/>
    <mergeCell ref="C56:C58"/>
    <mergeCell ref="B56:B58"/>
    <mergeCell ref="A108:A109"/>
    <mergeCell ref="B108:B109"/>
    <mergeCell ref="C108:C109"/>
    <mergeCell ref="D108:D109"/>
    <mergeCell ref="E108:E109"/>
    <mergeCell ref="F108:G109"/>
    <mergeCell ref="C81:C82"/>
    <mergeCell ref="D81:D82"/>
    <mergeCell ref="H108:J108"/>
    <mergeCell ref="E84:G84"/>
    <mergeCell ref="G85:G86"/>
    <mergeCell ref="F85:F86"/>
    <mergeCell ref="H85:J85"/>
    <mergeCell ref="K85:M85"/>
    <mergeCell ref="N85:P85"/>
    <mergeCell ref="F111:G111"/>
    <mergeCell ref="F112:G112"/>
    <mergeCell ref="F113:G113"/>
    <mergeCell ref="K108:M108"/>
    <mergeCell ref="N108:P108"/>
    <mergeCell ref="Q108:S108"/>
    <mergeCell ref="F110:G110"/>
  </mergeCells>
  <printOptions/>
  <pageMargins left="0.15748031496062992" right="0.2362204724409449" top="0.2755905511811024" bottom="0.31496062992125984" header="0.15748031496062992" footer="0.15748031496062992"/>
  <pageSetup fitToHeight="2" fitToWidth="1" horizontalDpi="600" verticalDpi="600" orientation="landscape" paperSize="9" scale="37" r:id="rId2"/>
  <headerFooter alignWithMargins="0">
    <oddHeader>&amp;LДействителен с 02.08.2012</oddHeader>
    <oddFooter>&amp;C&amp;F&amp;A&amp;R&amp;D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8"/>
  <sheetViews>
    <sheetView zoomScaleSheetLayoutView="100" zoomScalePageLayoutView="0" workbookViewId="0" topLeftCell="B1">
      <selection activeCell="E1" sqref="E1:H3"/>
    </sheetView>
  </sheetViews>
  <sheetFormatPr defaultColWidth="9.00390625" defaultRowHeight="12.75"/>
  <cols>
    <col min="1" max="1" width="0.6171875" style="8" hidden="1" customWidth="1"/>
    <col min="2" max="4" width="9.125" style="8" customWidth="1"/>
    <col min="5" max="5" width="26.625" style="8" customWidth="1"/>
    <col min="6" max="6" width="9.375" style="8" customWidth="1"/>
    <col min="7" max="7" width="12.00390625" style="8" customWidth="1"/>
    <col min="8" max="8" width="13.125" style="233" customWidth="1"/>
    <col min="9" max="9" width="9.25390625" style="233" customWidth="1"/>
    <col min="10" max="10" width="8.625" style="208" customWidth="1"/>
    <col min="11" max="11" width="8.375" style="208" customWidth="1"/>
    <col min="12" max="12" width="8.375" style="214" customWidth="1"/>
    <col min="13" max="13" width="11.375" style="181" hidden="1" customWidth="1"/>
    <col min="14" max="18" width="9.125" style="8" hidden="1" customWidth="1"/>
    <col min="19" max="16384" width="9.125" style="8" customWidth="1"/>
  </cols>
  <sheetData>
    <row r="1" spans="2:12" ht="12.75">
      <c r="B1" s="2"/>
      <c r="C1" s="180"/>
      <c r="D1" s="180"/>
      <c r="E1" s="2381" t="s">
        <v>1241</v>
      </c>
      <c r="F1" s="2381"/>
      <c r="G1" s="2381"/>
      <c r="H1" s="2381"/>
      <c r="I1" s="205"/>
      <c r="J1" s="209"/>
      <c r="K1" s="209"/>
      <c r="L1" s="210"/>
    </row>
    <row r="2" spans="2:12" ht="15" customHeight="1">
      <c r="B2" s="70"/>
      <c r="C2" s="70"/>
      <c r="D2" s="182"/>
      <c r="E2" s="2381"/>
      <c r="F2" s="2381"/>
      <c r="G2" s="2381"/>
      <c r="H2" s="2381"/>
      <c r="I2" s="224"/>
      <c r="J2" s="212"/>
      <c r="K2" s="212"/>
      <c r="L2" s="213"/>
    </row>
    <row r="3" spans="2:11" ht="12.75">
      <c r="B3" s="70"/>
      <c r="C3" s="70"/>
      <c r="D3" s="183"/>
      <c r="E3" s="2381"/>
      <c r="F3" s="2381"/>
      <c r="G3" s="2381"/>
      <c r="H3" s="2381"/>
      <c r="I3" s="224"/>
      <c r="J3" s="212"/>
      <c r="K3" s="212"/>
    </row>
    <row r="4" spans="2:12" ht="12.75" customHeight="1">
      <c r="B4" s="70"/>
      <c r="C4" s="70"/>
      <c r="D4" s="184"/>
      <c r="E4" s="184"/>
      <c r="G4" s="70"/>
      <c r="H4" s="224"/>
      <c r="I4" s="224"/>
      <c r="J4" s="212"/>
      <c r="K4" s="1932"/>
      <c r="L4" s="1932"/>
    </row>
    <row r="5" spans="2:12" ht="12.75" hidden="1">
      <c r="B5" s="180"/>
      <c r="C5" s="180"/>
      <c r="D5" s="180"/>
      <c r="E5" s="180"/>
      <c r="F5" s="180"/>
      <c r="G5" s="180"/>
      <c r="H5" s="205"/>
      <c r="I5" s="205"/>
      <c r="J5" s="209"/>
      <c r="K5" s="209"/>
      <c r="L5" s="210"/>
    </row>
    <row r="6" spans="2:12" ht="15" customHeight="1">
      <c r="B6" s="1866" t="s">
        <v>349</v>
      </c>
      <c r="C6" s="1866"/>
      <c r="D6" s="1866"/>
      <c r="E6" s="1866"/>
      <c r="F6" s="1866"/>
      <c r="G6" s="1866"/>
      <c r="H6" s="1866"/>
      <c r="I6" s="1866"/>
      <c r="J6" s="1866"/>
      <c r="K6" s="1866"/>
      <c r="L6" s="1866"/>
    </row>
    <row r="7" spans="2:12" ht="14.25" customHeight="1">
      <c r="B7" s="1867" t="s">
        <v>350</v>
      </c>
      <c r="C7" s="1867"/>
      <c r="D7" s="1867"/>
      <c r="E7" s="1867"/>
      <c r="F7" s="1867"/>
      <c r="G7" s="1867"/>
      <c r="H7" s="1867"/>
      <c r="I7" s="1867"/>
      <c r="J7" s="1867"/>
      <c r="K7" s="1867"/>
      <c r="L7" s="1867"/>
    </row>
    <row r="8" spans="2:13" ht="12" customHeight="1" thickBot="1">
      <c r="B8" s="206" t="s">
        <v>351</v>
      </c>
      <c r="C8" s="180"/>
      <c r="D8" s="180"/>
      <c r="E8" s="180"/>
      <c r="F8" s="180"/>
      <c r="G8" s="180"/>
      <c r="H8" s="205"/>
      <c r="I8" s="205"/>
      <c r="J8" s="209"/>
      <c r="K8" s="209"/>
      <c r="L8" s="210"/>
      <c r="M8" s="186"/>
    </row>
    <row r="9" spans="2:14" s="208" customFormat="1" ht="23.25" customHeight="1">
      <c r="B9" s="1868" t="s">
        <v>1</v>
      </c>
      <c r="C9" s="1869"/>
      <c r="D9" s="1869"/>
      <c r="E9" s="1870"/>
      <c r="F9" s="1871" t="s">
        <v>352</v>
      </c>
      <c r="G9" s="1871"/>
      <c r="H9" s="225" t="s">
        <v>353</v>
      </c>
      <c r="I9" s="2314" t="s">
        <v>1239</v>
      </c>
      <c r="J9" s="2329"/>
      <c r="K9" s="2326"/>
      <c r="L9" s="2326"/>
      <c r="M9" s="211"/>
      <c r="N9" s="208" t="s">
        <v>934</v>
      </c>
    </row>
    <row r="10" spans="2:13" ht="12" customHeight="1" hidden="1">
      <c r="B10" s="1872"/>
      <c r="C10" s="1873"/>
      <c r="D10" s="1873"/>
      <c r="E10" s="1874"/>
      <c r="F10" s="1875"/>
      <c r="G10" s="1875"/>
      <c r="H10" s="226"/>
      <c r="I10" s="2315"/>
      <c r="J10" s="2331"/>
      <c r="K10" s="2328"/>
      <c r="L10" s="2328"/>
      <c r="M10" s="188"/>
    </row>
    <row r="11" spans="2:13" ht="14.25" customHeight="1">
      <c r="B11" s="1872" t="s">
        <v>354</v>
      </c>
      <c r="C11" s="1873"/>
      <c r="D11" s="1873"/>
      <c r="E11" s="1874"/>
      <c r="F11" s="1876" t="s">
        <v>355</v>
      </c>
      <c r="G11" s="1876"/>
      <c r="H11" s="227" t="s">
        <v>356</v>
      </c>
      <c r="I11" s="2316">
        <f>344*1.1+2.82*5.27</f>
        <v>393.26140000000004</v>
      </c>
      <c r="J11" s="2332"/>
      <c r="K11" s="1061"/>
      <c r="L11" s="1061"/>
      <c r="M11" s="189"/>
    </row>
    <row r="12" spans="2:13" ht="14.25" customHeight="1">
      <c r="B12" s="1872" t="s">
        <v>357</v>
      </c>
      <c r="C12" s="1873"/>
      <c r="D12" s="1873"/>
      <c r="E12" s="1874"/>
      <c r="F12" s="1876" t="s">
        <v>358</v>
      </c>
      <c r="G12" s="1876"/>
      <c r="H12" s="227" t="s">
        <v>356</v>
      </c>
      <c r="I12" s="2316">
        <f>474*1.1+3.52*5.27</f>
        <v>539.9504000000001</v>
      </c>
      <c r="J12" s="2332"/>
      <c r="K12" s="1061"/>
      <c r="L12" s="1061"/>
      <c r="M12" s="189"/>
    </row>
    <row r="13" spans="2:13" ht="14.25" customHeight="1">
      <c r="B13" s="1872" t="s">
        <v>359</v>
      </c>
      <c r="C13" s="1873"/>
      <c r="D13" s="1873"/>
      <c r="E13" s="1874"/>
      <c r="F13" s="1876" t="s">
        <v>360</v>
      </c>
      <c r="G13" s="1876"/>
      <c r="H13" s="227" t="s">
        <v>356</v>
      </c>
      <c r="I13" s="2316">
        <f>640*1.1+5.27*5.27</f>
        <v>731.7729</v>
      </c>
      <c r="J13" s="2332"/>
      <c r="K13" s="1061"/>
      <c r="L13" s="1061"/>
      <c r="M13" s="189"/>
    </row>
    <row r="14" spans="2:13" ht="14.25" customHeight="1">
      <c r="B14" s="1872" t="s">
        <v>361</v>
      </c>
      <c r="C14" s="1873"/>
      <c r="D14" s="1873"/>
      <c r="E14" s="1874"/>
      <c r="F14" s="1876" t="s">
        <v>362</v>
      </c>
      <c r="G14" s="1876"/>
      <c r="H14" s="227" t="s">
        <v>356</v>
      </c>
      <c r="I14" s="2316">
        <f>853*1.1+7.03*5.27</f>
        <v>975.3481</v>
      </c>
      <c r="J14" s="2332"/>
      <c r="K14" s="1061"/>
      <c r="L14" s="1061"/>
      <c r="M14" s="189"/>
    </row>
    <row r="15" spans="2:18" ht="25.5" customHeight="1" thickBot="1">
      <c r="B15" s="1820" t="s">
        <v>935</v>
      </c>
      <c r="C15" s="1821"/>
      <c r="D15" s="1821"/>
      <c r="E15" s="1891"/>
      <c r="F15" s="2324" t="s">
        <v>889</v>
      </c>
      <c r="G15" s="2325"/>
      <c r="H15" s="236" t="s">
        <v>364</v>
      </c>
      <c r="I15" s="2316">
        <v>541</v>
      </c>
      <c r="J15" s="2332"/>
      <c r="K15" s="265"/>
      <c r="L15" s="265"/>
      <c r="M15" s="189"/>
      <c r="N15" s="371">
        <v>500</v>
      </c>
      <c r="O15" s="371">
        <v>487.5</v>
      </c>
      <c r="P15" s="371">
        <v>462.5</v>
      </c>
      <c r="Q15" s="369">
        <v>437.5</v>
      </c>
      <c r="R15" s="370">
        <v>425</v>
      </c>
    </row>
    <row r="16" spans="2:19" s="704" customFormat="1" ht="30" customHeight="1" thickBot="1">
      <c r="B16" s="1855" t="s">
        <v>935</v>
      </c>
      <c r="C16" s="1856"/>
      <c r="D16" s="1856"/>
      <c r="E16" s="1882"/>
      <c r="F16" s="2322" t="s">
        <v>363</v>
      </c>
      <c r="G16" s="2323"/>
      <c r="H16" s="803" t="s">
        <v>364</v>
      </c>
      <c r="I16" s="2317">
        <v>606</v>
      </c>
      <c r="J16" s="2332"/>
      <c r="K16" s="265"/>
      <c r="L16" s="265"/>
      <c r="M16" s="189"/>
      <c r="N16" s="804">
        <v>560</v>
      </c>
      <c r="O16" s="770">
        <v>546</v>
      </c>
      <c r="P16" s="770">
        <v>518</v>
      </c>
      <c r="Q16" s="770">
        <v>490</v>
      </c>
      <c r="R16" s="771">
        <v>476</v>
      </c>
      <c r="S16" s="8"/>
    </row>
    <row r="17" spans="2:13" ht="14.25" customHeight="1">
      <c r="B17" s="1877" t="s">
        <v>365</v>
      </c>
      <c r="C17" s="1877"/>
      <c r="D17" s="1877"/>
      <c r="E17" s="1877"/>
      <c r="F17" s="1877"/>
      <c r="G17" s="1877"/>
      <c r="H17" s="1877"/>
      <c r="I17" s="1877"/>
      <c r="J17" s="1877"/>
      <c r="K17" s="1877"/>
      <c r="L17" s="1877"/>
      <c r="M17" s="235"/>
    </row>
    <row r="18" spans="2:13" ht="10.5" customHeight="1" thickBot="1">
      <c r="B18" s="206" t="s">
        <v>366</v>
      </c>
      <c r="C18" s="180"/>
      <c r="D18" s="180"/>
      <c r="E18" s="180"/>
      <c r="F18" s="180"/>
      <c r="G18" s="180"/>
      <c r="H18" s="205"/>
      <c r="I18" s="205"/>
      <c r="J18" s="209"/>
      <c r="K18" s="209"/>
      <c r="L18" s="210"/>
      <c r="M18" s="190"/>
    </row>
    <row r="19" spans="2:13" ht="14.25" customHeight="1">
      <c r="B19" s="1878" t="s">
        <v>367</v>
      </c>
      <c r="C19" s="1879"/>
      <c r="D19" s="1879"/>
      <c r="E19" s="1880"/>
      <c r="F19" s="1881" t="s">
        <v>368</v>
      </c>
      <c r="G19" s="1881"/>
      <c r="H19" s="228" t="s">
        <v>356</v>
      </c>
      <c r="I19" s="2333">
        <f>490*1.1+4.32*5.27</f>
        <v>561.7664</v>
      </c>
      <c r="J19" s="2332"/>
      <c r="K19" s="1061"/>
      <c r="L19" s="1061"/>
      <c r="M19" s="189"/>
    </row>
    <row r="20" spans="2:13" ht="14.25" customHeight="1">
      <c r="B20" s="1872" t="s">
        <v>369</v>
      </c>
      <c r="C20" s="1873"/>
      <c r="D20" s="1873"/>
      <c r="E20" s="1874"/>
      <c r="F20" s="1876" t="s">
        <v>370</v>
      </c>
      <c r="G20" s="1876"/>
      <c r="H20" s="227" t="s">
        <v>356</v>
      </c>
      <c r="I20" s="2316">
        <f>817*1.1+7.2*5.27</f>
        <v>936.644</v>
      </c>
      <c r="J20" s="2332"/>
      <c r="K20" s="1061"/>
      <c r="L20" s="1061"/>
      <c r="M20" s="189"/>
    </row>
    <row r="21" spans="2:13" ht="14.25" customHeight="1">
      <c r="B21" s="1872" t="s">
        <v>371</v>
      </c>
      <c r="C21" s="1873"/>
      <c r="D21" s="1873"/>
      <c r="E21" s="1874"/>
      <c r="F21" s="1876" t="s">
        <v>372</v>
      </c>
      <c r="G21" s="1876"/>
      <c r="H21" s="227" t="s">
        <v>356</v>
      </c>
      <c r="I21" s="2316">
        <f>981*1.1+8.58*5.27</f>
        <v>1124.3166</v>
      </c>
      <c r="J21" s="2332"/>
      <c r="K21" s="1061"/>
      <c r="L21" s="1061"/>
      <c r="M21" s="189"/>
    </row>
    <row r="22" spans="2:13" ht="14.25" customHeight="1">
      <c r="B22" s="1872" t="s">
        <v>373</v>
      </c>
      <c r="C22" s="1873"/>
      <c r="D22" s="1873"/>
      <c r="E22" s="1874"/>
      <c r="F22" s="1876" t="s">
        <v>374</v>
      </c>
      <c r="G22" s="1876"/>
      <c r="H22" s="227" t="s">
        <v>356</v>
      </c>
      <c r="I22" s="2316">
        <f>1471*1.1+12.85*5.27</f>
        <v>1685.8195</v>
      </c>
      <c r="J22" s="2332"/>
      <c r="K22" s="1061"/>
      <c r="L22" s="1061"/>
      <c r="M22" s="189"/>
    </row>
    <row r="23" spans="2:13" ht="14.25" customHeight="1">
      <c r="B23" s="1872" t="s">
        <v>375</v>
      </c>
      <c r="C23" s="1873"/>
      <c r="D23" s="1873"/>
      <c r="E23" s="1874"/>
      <c r="F23" s="1876" t="s">
        <v>376</v>
      </c>
      <c r="G23" s="1876"/>
      <c r="H23" s="227" t="s">
        <v>356</v>
      </c>
      <c r="I23" s="2316">
        <f>1962*1.1+17.15*5.27</f>
        <v>2248.5805</v>
      </c>
      <c r="J23" s="2332"/>
      <c r="K23" s="1061"/>
      <c r="L23" s="1061"/>
      <c r="M23" s="189"/>
    </row>
    <row r="24" spans="2:13" ht="14.25" customHeight="1">
      <c r="B24" s="1872" t="s">
        <v>377</v>
      </c>
      <c r="C24" s="1873"/>
      <c r="D24" s="1873"/>
      <c r="E24" s="1874"/>
      <c r="F24" s="1876" t="s">
        <v>378</v>
      </c>
      <c r="G24" s="1876"/>
      <c r="H24" s="227" t="s">
        <v>356</v>
      </c>
      <c r="I24" s="2316">
        <f>2452*1.1+21.4*5.27</f>
        <v>2809.978</v>
      </c>
      <c r="J24" s="2332"/>
      <c r="K24" s="1061"/>
      <c r="L24" s="1061"/>
      <c r="M24" s="189"/>
    </row>
    <row r="25" spans="2:13" ht="14.25" customHeight="1">
      <c r="B25" s="1872" t="s">
        <v>379</v>
      </c>
      <c r="C25" s="1873"/>
      <c r="D25" s="1873"/>
      <c r="E25" s="1874"/>
      <c r="F25" s="1876" t="s">
        <v>380</v>
      </c>
      <c r="G25" s="1876"/>
      <c r="H25" s="227" t="s">
        <v>356</v>
      </c>
      <c r="I25" s="2316">
        <f>2942*1.1+25.75*5.27</f>
        <v>3371.9025</v>
      </c>
      <c r="J25" s="2332"/>
      <c r="K25" s="1061"/>
      <c r="L25" s="1061"/>
      <c r="M25" s="189"/>
    </row>
    <row r="26" spans="2:19" s="704" customFormat="1" ht="39.75" customHeight="1" thickBot="1">
      <c r="B26" s="1855" t="s">
        <v>936</v>
      </c>
      <c r="C26" s="1856"/>
      <c r="D26" s="1856"/>
      <c r="E26" s="1882"/>
      <c r="F26" s="1883" t="s">
        <v>381</v>
      </c>
      <c r="G26" s="1883"/>
      <c r="H26" s="805" t="s">
        <v>364</v>
      </c>
      <c r="I26" s="2334">
        <v>277</v>
      </c>
      <c r="J26" s="2332"/>
      <c r="K26" s="265"/>
      <c r="L26" s="265"/>
      <c r="M26" s="189"/>
      <c r="N26" s="215">
        <v>256.06</v>
      </c>
      <c r="O26" s="770">
        <v>247.79999999999998</v>
      </c>
      <c r="P26" s="770">
        <v>239.53999999999996</v>
      </c>
      <c r="Q26" s="770">
        <v>231.27999999999997</v>
      </c>
      <c r="R26" s="771">
        <v>223.02</v>
      </c>
      <c r="S26" s="8"/>
    </row>
    <row r="27" spans="2:13" ht="2.25" customHeight="1">
      <c r="B27" s="191"/>
      <c r="C27" s="191"/>
      <c r="D27" s="191"/>
      <c r="E27" s="191"/>
      <c r="F27" s="192"/>
      <c r="G27" s="192"/>
      <c r="H27" s="229"/>
      <c r="I27" s="229"/>
      <c r="J27" s="216"/>
      <c r="K27" s="216"/>
      <c r="L27" s="217"/>
      <c r="M27" s="193"/>
    </row>
    <row r="28" spans="2:13" ht="11.25" customHeight="1">
      <c r="B28" s="1867" t="s">
        <v>382</v>
      </c>
      <c r="C28" s="1867"/>
      <c r="D28" s="1867"/>
      <c r="E28" s="1867"/>
      <c r="F28" s="1867"/>
      <c r="G28" s="1867"/>
      <c r="H28" s="1867"/>
      <c r="I28" s="1867"/>
      <c r="J28" s="1867"/>
      <c r="K28" s="1867"/>
      <c r="L28" s="1867"/>
      <c r="M28" s="235"/>
    </row>
    <row r="29" spans="2:13" ht="13.5" customHeight="1" thickBot="1">
      <c r="B29" s="206" t="s">
        <v>383</v>
      </c>
      <c r="C29" s="180"/>
      <c r="D29" s="180"/>
      <c r="E29" s="180"/>
      <c r="F29" s="180"/>
      <c r="G29" s="180"/>
      <c r="H29" s="205"/>
      <c r="I29" s="205"/>
      <c r="J29" s="209"/>
      <c r="K29" s="209"/>
      <c r="L29" s="210"/>
      <c r="M29" s="190"/>
    </row>
    <row r="30" spans="2:13" ht="14.25" customHeight="1">
      <c r="B30" s="1878" t="s">
        <v>384</v>
      </c>
      <c r="C30" s="1879"/>
      <c r="D30" s="1879"/>
      <c r="E30" s="1880"/>
      <c r="F30" s="1881" t="s">
        <v>385</v>
      </c>
      <c r="G30" s="1881"/>
      <c r="H30" s="228" t="s">
        <v>356</v>
      </c>
      <c r="I30" s="2333">
        <f>243*1.1+1.99*5.27</f>
        <v>277.7873</v>
      </c>
      <c r="J30" s="2332"/>
      <c r="K30" s="1061"/>
      <c r="L30" s="1061"/>
      <c r="M30" s="189"/>
    </row>
    <row r="31" spans="2:13" ht="15" customHeight="1" thickBot="1">
      <c r="B31" s="1884" t="s">
        <v>386</v>
      </c>
      <c r="C31" s="1885"/>
      <c r="D31" s="1885"/>
      <c r="E31" s="1886"/>
      <c r="F31" s="1887" t="s">
        <v>387</v>
      </c>
      <c r="G31" s="1887"/>
      <c r="H31" s="230" t="s">
        <v>356</v>
      </c>
      <c r="I31" s="2334">
        <f>420*1.1+3.3*5.27</f>
        <v>479.3910000000001</v>
      </c>
      <c r="J31" s="2332"/>
      <c r="K31" s="1061"/>
      <c r="L31" s="1061"/>
      <c r="M31" s="189"/>
    </row>
    <row r="32" spans="2:13" ht="4.5" customHeight="1" thickBot="1">
      <c r="B32" s="191"/>
      <c r="C32" s="191"/>
      <c r="D32" s="191"/>
      <c r="E32" s="191"/>
      <c r="F32" s="192"/>
      <c r="G32" s="192"/>
      <c r="H32" s="229"/>
      <c r="I32" s="229"/>
      <c r="J32" s="216"/>
      <c r="K32" s="216"/>
      <c r="L32" s="217"/>
      <c r="M32" s="194"/>
    </row>
    <row r="33" spans="2:13" ht="12" customHeight="1">
      <c r="B33" s="1888" t="s">
        <v>388</v>
      </c>
      <c r="C33" s="1889"/>
      <c r="D33" s="1889"/>
      <c r="E33" s="1889"/>
      <c r="F33" s="1889"/>
      <c r="G33" s="1889"/>
      <c r="H33" s="1889"/>
      <c r="I33" s="1889"/>
      <c r="J33" s="1889"/>
      <c r="K33" s="1889"/>
      <c r="L33" s="1889"/>
      <c r="M33" s="189"/>
    </row>
    <row r="34" spans="2:13" ht="12.75" customHeight="1">
      <c r="B34" s="261" t="s">
        <v>389</v>
      </c>
      <c r="C34" s="262"/>
      <c r="D34" s="262"/>
      <c r="E34" s="262"/>
      <c r="F34" s="262"/>
      <c r="G34" s="262"/>
      <c r="H34" s="263"/>
      <c r="I34" s="263"/>
      <c r="J34" s="264"/>
      <c r="K34" s="264"/>
      <c r="L34" s="217"/>
      <c r="M34" s="194"/>
    </row>
    <row r="35" spans="2:13" ht="15" customHeight="1">
      <c r="B35" s="1827" t="s">
        <v>528</v>
      </c>
      <c r="C35" s="1828"/>
      <c r="D35" s="1828"/>
      <c r="E35" s="1828"/>
      <c r="F35" s="1890" t="s">
        <v>390</v>
      </c>
      <c r="G35" s="1890"/>
      <c r="H35" s="236" t="s">
        <v>356</v>
      </c>
      <c r="I35" s="2316">
        <f>3312*1.1+9.6*5.27</f>
        <v>3693.7920000000004</v>
      </c>
      <c r="J35" s="2332"/>
      <c r="K35" s="1061"/>
      <c r="L35" s="1061"/>
      <c r="M35" s="189"/>
    </row>
    <row r="36" spans="2:13" ht="15" customHeight="1">
      <c r="B36" s="1820" t="s">
        <v>529</v>
      </c>
      <c r="C36" s="1821"/>
      <c r="D36" s="1821"/>
      <c r="E36" s="1891"/>
      <c r="F36" s="1892" t="s">
        <v>530</v>
      </c>
      <c r="G36" s="1893"/>
      <c r="H36" s="236" t="s">
        <v>356</v>
      </c>
      <c r="I36" s="2316">
        <f>2385*1.1+6.5*5.27</f>
        <v>2657.755</v>
      </c>
      <c r="J36" s="2332"/>
      <c r="K36" s="1061"/>
      <c r="L36" s="1061"/>
      <c r="M36" s="189"/>
    </row>
    <row r="37" spans="2:13" ht="13.5" customHeight="1">
      <c r="B37" s="1827" t="s">
        <v>391</v>
      </c>
      <c r="C37" s="1828"/>
      <c r="D37" s="1828"/>
      <c r="E37" s="1828"/>
      <c r="F37" s="1890" t="s">
        <v>390</v>
      </c>
      <c r="G37" s="1890"/>
      <c r="H37" s="236" t="s">
        <v>356</v>
      </c>
      <c r="I37" s="2316">
        <f>302*1.1+2.6*5.27</f>
        <v>345.90200000000004</v>
      </c>
      <c r="J37" s="2332"/>
      <c r="K37" s="1061"/>
      <c r="L37" s="1061"/>
      <c r="M37" s="189"/>
    </row>
    <row r="38" spans="2:13" ht="17.25" customHeight="1">
      <c r="B38" s="1827" t="s">
        <v>392</v>
      </c>
      <c r="C38" s="1828"/>
      <c r="D38" s="1828"/>
      <c r="E38" s="1828"/>
      <c r="F38" s="1890" t="s">
        <v>390</v>
      </c>
      <c r="G38" s="1890"/>
      <c r="H38" s="236" t="s">
        <v>356</v>
      </c>
      <c r="I38" s="2316">
        <f>309*1.1+2.6*5.27</f>
        <v>353.60200000000003</v>
      </c>
      <c r="J38" s="2332"/>
      <c r="K38" s="1061"/>
      <c r="L38" s="1061"/>
      <c r="M38" s="189"/>
    </row>
    <row r="39" spans="2:13" ht="30.75" customHeight="1">
      <c r="B39" s="1827" t="s">
        <v>441</v>
      </c>
      <c r="C39" s="1828"/>
      <c r="D39" s="1828"/>
      <c r="E39" s="1828"/>
      <c r="F39" s="1890" t="s">
        <v>390</v>
      </c>
      <c r="G39" s="1890"/>
      <c r="H39" s="236" t="s">
        <v>356</v>
      </c>
      <c r="I39" s="2316">
        <f>781*1.1+3.7*5.27</f>
        <v>878.599</v>
      </c>
      <c r="J39" s="2332"/>
      <c r="K39" s="1061"/>
      <c r="L39" s="1061"/>
      <c r="M39" s="189"/>
    </row>
    <row r="40" spans="2:13" ht="30.75" customHeight="1">
      <c r="B40" s="1827" t="s">
        <v>442</v>
      </c>
      <c r="C40" s="1828"/>
      <c r="D40" s="1828"/>
      <c r="E40" s="1828"/>
      <c r="F40" s="1890" t="s">
        <v>390</v>
      </c>
      <c r="G40" s="1890"/>
      <c r="H40" s="236" t="s">
        <v>356</v>
      </c>
      <c r="I40" s="2316">
        <f>1180*1.1+4*5.27</f>
        <v>1319.08</v>
      </c>
      <c r="J40" s="2332"/>
      <c r="K40" s="1061"/>
      <c r="L40" s="1061"/>
      <c r="M40" s="189"/>
    </row>
    <row r="41" spans="2:19" s="704" customFormat="1" ht="37.5" customHeight="1">
      <c r="B41" s="1827" t="s">
        <v>937</v>
      </c>
      <c r="C41" s="1828"/>
      <c r="D41" s="1828"/>
      <c r="E41" s="1828"/>
      <c r="F41" s="1890" t="s">
        <v>393</v>
      </c>
      <c r="G41" s="1890"/>
      <c r="H41" s="806" t="s">
        <v>364</v>
      </c>
      <c r="I41" s="2335">
        <v>949</v>
      </c>
      <c r="J41" s="2332"/>
      <c r="K41" s="265"/>
      <c r="L41" s="265"/>
      <c r="M41" s="189"/>
      <c r="N41" s="221">
        <v>877.8</v>
      </c>
      <c r="O41" s="221">
        <v>846.45</v>
      </c>
      <c r="P41" s="221">
        <v>815.1</v>
      </c>
      <c r="Q41" s="772">
        <v>783.75</v>
      </c>
      <c r="R41" s="773">
        <v>752.4</v>
      </c>
      <c r="S41" s="8"/>
    </row>
    <row r="42" spans="2:19" s="704" customFormat="1" ht="39" customHeight="1">
      <c r="B42" s="1827" t="s">
        <v>938</v>
      </c>
      <c r="C42" s="1828"/>
      <c r="D42" s="1828"/>
      <c r="E42" s="1828"/>
      <c r="F42" s="1890" t="s">
        <v>363</v>
      </c>
      <c r="G42" s="1890"/>
      <c r="H42" s="806" t="s">
        <v>364</v>
      </c>
      <c r="I42" s="2316">
        <v>821</v>
      </c>
      <c r="J42" s="2332"/>
      <c r="K42" s="265"/>
      <c r="L42" s="265"/>
      <c r="M42" s="189"/>
      <c r="N42" s="221">
        <v>759.035</v>
      </c>
      <c r="O42" s="221">
        <v>734.55</v>
      </c>
      <c r="P42" s="221">
        <v>710.0649999999999</v>
      </c>
      <c r="Q42" s="221">
        <v>685.5799999999999</v>
      </c>
      <c r="R42" s="187">
        <v>661.095</v>
      </c>
      <c r="S42" s="8"/>
    </row>
    <row r="43" spans="2:19" s="704" customFormat="1" ht="39" customHeight="1">
      <c r="B43" s="1820" t="s">
        <v>938</v>
      </c>
      <c r="C43" s="1821"/>
      <c r="D43" s="1821"/>
      <c r="E43" s="1821"/>
      <c r="F43" s="1890" t="s">
        <v>933</v>
      </c>
      <c r="G43" s="1890"/>
      <c r="H43" s="806" t="s">
        <v>364</v>
      </c>
      <c r="I43" s="2316">
        <v>735</v>
      </c>
      <c r="J43" s="2332"/>
      <c r="K43" s="265"/>
      <c r="L43" s="265"/>
      <c r="M43" s="189"/>
      <c r="N43" s="807">
        <v>680</v>
      </c>
      <c r="O43" s="807">
        <v>663</v>
      </c>
      <c r="P43" s="807">
        <v>629</v>
      </c>
      <c r="Q43" s="807">
        <v>595</v>
      </c>
      <c r="R43" s="808">
        <v>578</v>
      </c>
      <c r="S43" s="8"/>
    </row>
    <row r="44" spans="2:19" s="704" customFormat="1" ht="37.5" customHeight="1" thickBot="1">
      <c r="B44" s="1894" t="s">
        <v>938</v>
      </c>
      <c r="C44" s="1895"/>
      <c r="D44" s="1895"/>
      <c r="E44" s="1895"/>
      <c r="F44" s="1896" t="s">
        <v>394</v>
      </c>
      <c r="G44" s="1896"/>
      <c r="H44" s="809" t="s">
        <v>364</v>
      </c>
      <c r="I44" s="2317">
        <v>623</v>
      </c>
      <c r="J44" s="2332"/>
      <c r="K44" s="265"/>
      <c r="L44" s="265"/>
      <c r="M44" s="189"/>
      <c r="N44" s="215">
        <v>576.135</v>
      </c>
      <c r="O44" s="215">
        <v>557.55</v>
      </c>
      <c r="P44" s="215">
        <v>538.9649999999999</v>
      </c>
      <c r="Q44" s="215">
        <v>520.38</v>
      </c>
      <c r="R44" s="774">
        <v>501.795</v>
      </c>
      <c r="S44" s="8"/>
    </row>
    <row r="45" spans="2:13" ht="15" hidden="1">
      <c r="B45" s="195"/>
      <c r="C45" s="185"/>
      <c r="D45" s="185"/>
      <c r="E45" s="185"/>
      <c r="F45" s="185"/>
      <c r="G45" s="185"/>
      <c r="H45" s="205"/>
      <c r="I45" s="205"/>
      <c r="J45" s="209"/>
      <c r="K45" s="209"/>
      <c r="L45" s="210"/>
      <c r="M45" s="190"/>
    </row>
    <row r="46" spans="2:13" ht="14.25" customHeight="1">
      <c r="B46" s="1867" t="s">
        <v>395</v>
      </c>
      <c r="C46" s="1867"/>
      <c r="D46" s="1867"/>
      <c r="E46" s="1867"/>
      <c r="F46" s="1867"/>
      <c r="G46" s="1867"/>
      <c r="H46" s="1867"/>
      <c r="I46" s="1867"/>
      <c r="J46" s="1867"/>
      <c r="K46" s="1867"/>
      <c r="L46" s="1867"/>
      <c r="M46" s="235"/>
    </row>
    <row r="47" spans="2:13" ht="15.75" thickBot="1">
      <c r="B47" s="207" t="s">
        <v>396</v>
      </c>
      <c r="C47" s="180"/>
      <c r="D47" s="180"/>
      <c r="E47" s="180"/>
      <c r="F47" s="180"/>
      <c r="G47" s="180"/>
      <c r="H47" s="205"/>
      <c r="I47" s="205"/>
      <c r="J47" s="209"/>
      <c r="K47" s="209"/>
      <c r="L47" s="210"/>
      <c r="M47" s="190"/>
    </row>
    <row r="48" spans="2:13" ht="18" customHeight="1">
      <c r="B48" s="1897" t="s">
        <v>397</v>
      </c>
      <c r="C48" s="1898"/>
      <c r="D48" s="1898"/>
      <c r="E48" s="1898"/>
      <c r="F48" s="1881" t="s">
        <v>398</v>
      </c>
      <c r="G48" s="1881"/>
      <c r="H48" s="228" t="s">
        <v>356</v>
      </c>
      <c r="I48" s="2333">
        <f>1445*1.1+9.6*5.27</f>
        <v>1640.0920000000003</v>
      </c>
      <c r="J48" s="2332"/>
      <c r="K48" s="1061"/>
      <c r="L48" s="1061"/>
      <c r="M48" s="189"/>
    </row>
    <row r="49" spans="2:13" ht="18" customHeight="1" thickBot="1">
      <c r="B49" s="1899" t="s">
        <v>399</v>
      </c>
      <c r="C49" s="1900"/>
      <c r="D49" s="1900"/>
      <c r="E49" s="1900"/>
      <c r="F49" s="1887" t="s">
        <v>628</v>
      </c>
      <c r="G49" s="1887"/>
      <c r="H49" s="230" t="s">
        <v>356</v>
      </c>
      <c r="I49" s="2334">
        <f>1168*1.1+10.05*5.27</f>
        <v>1337.7635000000002</v>
      </c>
      <c r="J49" s="2332"/>
      <c r="K49" s="1061"/>
      <c r="L49" s="1061"/>
      <c r="M49" s="189"/>
    </row>
    <row r="50" spans="2:14" ht="25.5" customHeight="1">
      <c r="B50" s="1815" t="s">
        <v>1127</v>
      </c>
      <c r="C50" s="1815"/>
      <c r="D50" s="1815"/>
      <c r="E50" s="1815"/>
      <c r="F50" s="1815"/>
      <c r="G50" s="1815"/>
      <c r="H50" s="1815"/>
      <c r="I50" s="1815"/>
      <c r="J50" s="1815"/>
      <c r="K50" s="1815"/>
      <c r="L50" s="1815"/>
      <c r="M50" s="1468"/>
      <c r="N50" s="1063"/>
    </row>
    <row r="51" spans="2:14" ht="17.25" customHeight="1" thickBot="1">
      <c r="B51" s="1225"/>
      <c r="C51" s="695"/>
      <c r="D51" s="695"/>
      <c r="E51" s="695"/>
      <c r="F51" s="685"/>
      <c r="G51" s="685"/>
      <c r="H51" s="695"/>
      <c r="I51" s="474"/>
      <c r="J51" s="1226"/>
      <c r="K51" s="1226"/>
      <c r="L51" s="1226"/>
      <c r="M51" s="474"/>
      <c r="N51" s="1063"/>
    </row>
    <row r="52" spans="2:13" ht="45" customHeight="1" thickBot="1">
      <c r="B52" s="1816" t="s">
        <v>1</v>
      </c>
      <c r="C52" s="1817"/>
      <c r="D52" s="1382" t="s">
        <v>75</v>
      </c>
      <c r="E52" s="1383" t="s">
        <v>352</v>
      </c>
      <c r="F52" s="1382" t="s">
        <v>1128</v>
      </c>
      <c r="G52" s="1384" t="s">
        <v>1129</v>
      </c>
      <c r="H52" s="1385" t="s">
        <v>1130</v>
      </c>
      <c r="I52" s="2336" t="s">
        <v>1239</v>
      </c>
      <c r="J52" s="2342"/>
      <c r="K52" s="2340"/>
      <c r="L52" s="2340"/>
      <c r="M52" s="1063"/>
    </row>
    <row r="53" spans="2:18" ht="25.5" customHeight="1">
      <c r="B53" s="1818" t="s">
        <v>1131</v>
      </c>
      <c r="C53" s="1819"/>
      <c r="D53" s="1386" t="s">
        <v>1132</v>
      </c>
      <c r="E53" s="1386" t="s">
        <v>1133</v>
      </c>
      <c r="F53" s="1387">
        <v>1.5</v>
      </c>
      <c r="G53" s="1386">
        <v>169.8</v>
      </c>
      <c r="H53" s="1388" t="s">
        <v>364</v>
      </c>
      <c r="I53" s="2337">
        <f>N53*1.05*1.005*1.05</f>
        <v>471.50807129999987</v>
      </c>
      <c r="J53" s="2343"/>
      <c r="K53" s="2341"/>
      <c r="L53" s="2341"/>
      <c r="M53" s="1227"/>
      <c r="N53" s="1469">
        <v>425.5439999999999</v>
      </c>
      <c r="O53" s="1469">
        <v>416.4252</v>
      </c>
      <c r="P53" s="1469">
        <v>404.2668</v>
      </c>
      <c r="Q53" s="1469">
        <v>395.14799999999997</v>
      </c>
      <c r="R53" s="1470">
        <v>379.95</v>
      </c>
    </row>
    <row r="54" spans="2:18" ht="25.5" customHeight="1">
      <c r="B54" s="1799" t="s">
        <v>1134</v>
      </c>
      <c r="C54" s="1800"/>
      <c r="D54" s="1389" t="s">
        <v>1135</v>
      </c>
      <c r="E54" s="1389" t="s">
        <v>1133</v>
      </c>
      <c r="F54" s="1390">
        <v>1.5</v>
      </c>
      <c r="G54" s="1389">
        <v>45.7</v>
      </c>
      <c r="H54" s="236" t="s">
        <v>364</v>
      </c>
      <c r="I54" s="2338">
        <f aca="true" t="shared" si="0" ref="I54:I59">N54*1.05*1.005*1.05</f>
        <v>471.50807129999987</v>
      </c>
      <c r="J54" s="2343"/>
      <c r="K54" s="2341"/>
      <c r="L54" s="2341"/>
      <c r="M54" s="1227"/>
      <c r="N54" s="1391">
        <v>425.5439999999999</v>
      </c>
      <c r="O54" s="1391">
        <v>416.4252</v>
      </c>
      <c r="P54" s="1391">
        <v>404.2668</v>
      </c>
      <c r="Q54" s="1391">
        <v>395.14799999999997</v>
      </c>
      <c r="R54" s="1455">
        <v>379.95</v>
      </c>
    </row>
    <row r="55" spans="2:18" ht="25.5" customHeight="1">
      <c r="B55" s="1799" t="s">
        <v>1136</v>
      </c>
      <c r="C55" s="1800"/>
      <c r="D55" s="1389" t="s">
        <v>77</v>
      </c>
      <c r="E55" s="1389" t="s">
        <v>1133</v>
      </c>
      <c r="F55" s="1390">
        <v>1.5</v>
      </c>
      <c r="G55" s="1389">
        <v>121.6</v>
      </c>
      <c r="H55" s="236" t="s">
        <v>364</v>
      </c>
      <c r="I55" s="2338">
        <f t="shared" si="0"/>
        <v>349.9918972199999</v>
      </c>
      <c r="J55" s="2343"/>
      <c r="K55" s="2341"/>
      <c r="L55" s="2341"/>
      <c r="M55" s="1227"/>
      <c r="N55" s="1391">
        <v>315.87359999999995</v>
      </c>
      <c r="O55" s="1391">
        <v>309.10488000000004</v>
      </c>
      <c r="P55" s="1391">
        <v>300.07992</v>
      </c>
      <c r="Q55" s="1391">
        <v>293.3112</v>
      </c>
      <c r="R55" s="1455">
        <v>282.03</v>
      </c>
    </row>
    <row r="56" spans="2:18" ht="25.5" customHeight="1">
      <c r="B56" s="1799" t="s">
        <v>1137</v>
      </c>
      <c r="C56" s="1800"/>
      <c r="D56" s="1389" t="s">
        <v>178</v>
      </c>
      <c r="E56" s="1389" t="s">
        <v>1133</v>
      </c>
      <c r="F56" s="1390">
        <v>1.5</v>
      </c>
      <c r="G56" s="1389">
        <v>101.4</v>
      </c>
      <c r="H56" s="236" t="s">
        <v>364</v>
      </c>
      <c r="I56" s="2338">
        <f t="shared" si="0"/>
        <v>471.50807129999987</v>
      </c>
      <c r="J56" s="2343"/>
      <c r="K56" s="2341"/>
      <c r="L56" s="2341"/>
      <c r="M56" s="1227"/>
      <c r="N56" s="1391">
        <v>425.5439999999999</v>
      </c>
      <c r="O56" s="1391">
        <v>416.4252</v>
      </c>
      <c r="P56" s="1391">
        <v>404.2668</v>
      </c>
      <c r="Q56" s="1391">
        <v>395.14799999999997</v>
      </c>
      <c r="R56" s="1455">
        <v>379.95</v>
      </c>
    </row>
    <row r="57" spans="2:18" ht="25.5" customHeight="1">
      <c r="B57" s="1799" t="s">
        <v>1138</v>
      </c>
      <c r="C57" s="1800"/>
      <c r="D57" s="1389" t="s">
        <v>208</v>
      </c>
      <c r="E57" s="1389" t="s">
        <v>1133</v>
      </c>
      <c r="F57" s="1390">
        <v>1.5</v>
      </c>
      <c r="G57" s="1392">
        <v>83</v>
      </c>
      <c r="H57" s="236" t="s">
        <v>364</v>
      </c>
      <c r="I57" s="2338">
        <f t="shared" si="0"/>
        <v>452.99584165499994</v>
      </c>
      <c r="J57" s="2343"/>
      <c r="K57" s="2341"/>
      <c r="L57" s="2341"/>
      <c r="M57" s="1227"/>
      <c r="N57" s="1391">
        <v>408.83639999999997</v>
      </c>
      <c r="O57" s="1391">
        <v>400.0756200000001</v>
      </c>
      <c r="P57" s="1391">
        <v>388.39458</v>
      </c>
      <c r="Q57" s="1391">
        <v>379.6338</v>
      </c>
      <c r="R57" s="1455">
        <v>365.0325</v>
      </c>
    </row>
    <row r="58" spans="2:18" ht="25.5" customHeight="1">
      <c r="B58" s="1799" t="s">
        <v>1139</v>
      </c>
      <c r="C58" s="1800"/>
      <c r="D58" s="1389" t="s">
        <v>1140</v>
      </c>
      <c r="E58" s="1389" t="s">
        <v>1133</v>
      </c>
      <c r="F58" s="1390">
        <v>1.5</v>
      </c>
      <c r="G58" s="1392">
        <v>77</v>
      </c>
      <c r="H58" s="236" t="s">
        <v>364</v>
      </c>
      <c r="I58" s="2338">
        <f t="shared" si="0"/>
        <v>471.50807129999987</v>
      </c>
      <c r="J58" s="2343"/>
      <c r="K58" s="2341"/>
      <c r="L58" s="2341"/>
      <c r="M58" s="1227"/>
      <c r="N58" s="1391">
        <v>425.5439999999999</v>
      </c>
      <c r="O58" s="1391">
        <v>416.4252</v>
      </c>
      <c r="P58" s="1391">
        <v>404.2668</v>
      </c>
      <c r="Q58" s="1391">
        <v>395.14799999999997</v>
      </c>
      <c r="R58" s="1455">
        <v>379.95</v>
      </c>
    </row>
    <row r="59" spans="2:18" ht="25.5" customHeight="1" thickBot="1">
      <c r="B59" s="1801" t="s">
        <v>1141</v>
      </c>
      <c r="C59" s="1802"/>
      <c r="D59" s="1393"/>
      <c r="E59" s="1252"/>
      <c r="F59" s="1394"/>
      <c r="G59" s="1252"/>
      <c r="H59" s="805" t="s">
        <v>364</v>
      </c>
      <c r="I59" s="2339">
        <f t="shared" si="0"/>
        <v>38022.667751249995</v>
      </c>
      <c r="J59" s="2343"/>
      <c r="K59" s="2341"/>
      <c r="L59" s="2341"/>
      <c r="M59" s="1228"/>
      <c r="N59" s="1471">
        <v>34316.1</v>
      </c>
      <c r="O59" s="1471"/>
      <c r="P59" s="1471"/>
      <c r="Q59" s="1471"/>
      <c r="R59" s="1472"/>
    </row>
    <row r="60" spans="2:13" ht="18" customHeight="1">
      <c r="B60" s="1059"/>
      <c r="C60" s="1059"/>
      <c r="D60" s="1059"/>
      <c r="E60" s="1059"/>
      <c r="F60" s="1060"/>
      <c r="G60" s="1060"/>
      <c r="H60" s="229"/>
      <c r="I60" s="265"/>
      <c r="J60" s="265"/>
      <c r="K60" s="1061"/>
      <c r="L60" s="1061"/>
      <c r="M60" s="189"/>
    </row>
    <row r="61" spans="2:14" s="269" customFormat="1" ht="25.5" customHeight="1" thickBot="1">
      <c r="B61" s="1951" t="s">
        <v>1072</v>
      </c>
      <c r="C61" s="1951"/>
      <c r="D61" s="1951"/>
      <c r="E61" s="1951"/>
      <c r="F61" s="1951"/>
      <c r="G61" s="1951"/>
      <c r="H61" s="1951"/>
      <c r="I61" s="1951"/>
      <c r="J61" s="1951"/>
      <c r="K61" s="1951"/>
      <c r="L61" s="1951"/>
      <c r="M61" s="1062"/>
      <c r="N61" s="1063"/>
    </row>
    <row r="62" spans="2:14" ht="32.25" customHeight="1" thickBot="1">
      <c r="B62" s="1064"/>
      <c r="C62" s="1065"/>
      <c r="D62" s="1065"/>
      <c r="E62" s="1065"/>
      <c r="F62" s="1065"/>
      <c r="G62" s="1065"/>
      <c r="H62" s="1065"/>
      <c r="I62" s="2336" t="s">
        <v>1239</v>
      </c>
      <c r="J62" s="2342"/>
      <c r="K62" s="2340"/>
      <c r="L62" s="2340"/>
      <c r="M62" s="1066"/>
      <c r="N62" s="1063"/>
    </row>
    <row r="63" spans="2:17" s="1067" customFormat="1" ht="25.5" customHeight="1">
      <c r="B63" s="1952" t="s">
        <v>1073</v>
      </c>
      <c r="C63" s="1953"/>
      <c r="D63" s="1953"/>
      <c r="E63" s="1954"/>
      <c r="F63" s="1881" t="s">
        <v>1074</v>
      </c>
      <c r="G63" s="1881"/>
      <c r="H63" s="1117" t="s">
        <v>364</v>
      </c>
      <c r="I63" s="2344">
        <f>M63*1.06*1.04*1.05</f>
        <v>72.72929664000002</v>
      </c>
      <c r="J63" s="2321"/>
      <c r="K63" s="2319"/>
      <c r="L63" s="2319"/>
      <c r="M63" s="1473">
        <v>62.832</v>
      </c>
      <c r="N63" s="1118">
        <v>61.485600000000005</v>
      </c>
      <c r="O63" s="1118">
        <v>59.241600000000005</v>
      </c>
      <c r="P63" s="1118">
        <v>56.1</v>
      </c>
      <c r="Q63" s="1456">
        <v>53.856</v>
      </c>
    </row>
    <row r="64" spans="2:17" s="1067" customFormat="1" ht="25.5" customHeight="1">
      <c r="B64" s="1851" t="s">
        <v>1075</v>
      </c>
      <c r="C64" s="1776"/>
      <c r="D64" s="1776"/>
      <c r="E64" s="1777"/>
      <c r="F64" s="1950" t="s">
        <v>1076</v>
      </c>
      <c r="G64" s="1950"/>
      <c r="H64" s="1119" t="s">
        <v>364</v>
      </c>
      <c r="I64" s="2345">
        <f>M64*1.06*1.04*1.05</f>
        <v>109.09394496000002</v>
      </c>
      <c r="J64" s="2321"/>
      <c r="K64" s="2319"/>
      <c r="L64" s="2319"/>
      <c r="M64" s="1474">
        <v>94.248</v>
      </c>
      <c r="N64" s="825">
        <v>92.22840000000002</v>
      </c>
      <c r="O64" s="825">
        <v>88.86240000000001</v>
      </c>
      <c r="P64" s="825">
        <v>84.15</v>
      </c>
      <c r="Q64" s="826">
        <v>80.784</v>
      </c>
    </row>
    <row r="65" spans="2:17" s="1067" customFormat="1" ht="25.5" customHeight="1" thickBot="1">
      <c r="B65" s="1852" t="s">
        <v>1077</v>
      </c>
      <c r="C65" s="1853"/>
      <c r="D65" s="1853"/>
      <c r="E65" s="1854"/>
      <c r="F65" s="1887" t="s">
        <v>1078</v>
      </c>
      <c r="G65" s="1887"/>
      <c r="H65" s="1120" t="s">
        <v>364</v>
      </c>
      <c r="I65" s="2346">
        <f>M65*1.06*1.04*1.05</f>
        <v>145.45859328000003</v>
      </c>
      <c r="J65" s="2321"/>
      <c r="K65" s="2319"/>
      <c r="L65" s="2319"/>
      <c r="M65" s="1475">
        <v>125.664</v>
      </c>
      <c r="N65" s="829">
        <v>122.97120000000001</v>
      </c>
      <c r="O65" s="829">
        <v>118.48320000000001</v>
      </c>
      <c r="P65" s="829">
        <v>112.2</v>
      </c>
      <c r="Q65" s="830">
        <v>107.712</v>
      </c>
    </row>
    <row r="66" spans="2:13" ht="3.75" customHeight="1">
      <c r="B66" s="70"/>
      <c r="C66" s="196"/>
      <c r="D66" s="196"/>
      <c r="E66" s="196"/>
      <c r="F66" s="197"/>
      <c r="G66" s="197"/>
      <c r="H66" s="229"/>
      <c r="I66" s="229"/>
      <c r="J66" s="216"/>
      <c r="K66" s="219"/>
      <c r="L66" s="217"/>
      <c r="M66" s="198"/>
    </row>
    <row r="67" spans="2:13" ht="13.5" customHeight="1" thickBot="1">
      <c r="B67" s="1809" t="s">
        <v>400</v>
      </c>
      <c r="C67" s="1809"/>
      <c r="D67" s="1809"/>
      <c r="E67" s="1809"/>
      <c r="F67" s="1809"/>
      <c r="G67" s="1809"/>
      <c r="H67" s="1809"/>
      <c r="I67" s="1809"/>
      <c r="J67" s="2347"/>
      <c r="K67" s="2347"/>
      <c r="L67" s="2347"/>
      <c r="M67" s="235"/>
    </row>
    <row r="68" spans="2:13" ht="20.25" customHeight="1">
      <c r="B68" s="1810" t="s">
        <v>440</v>
      </c>
      <c r="C68" s="1811"/>
      <c r="D68" s="1811"/>
      <c r="E68" s="1812"/>
      <c r="F68" s="1901" t="s">
        <v>352</v>
      </c>
      <c r="G68" s="1901"/>
      <c r="H68" s="227" t="s">
        <v>353</v>
      </c>
      <c r="I68" s="260" t="s">
        <v>1239</v>
      </c>
      <c r="J68" s="2329"/>
      <c r="K68" s="2326"/>
      <c r="L68" s="2326"/>
      <c r="M68" s="235"/>
    </row>
    <row r="69" spans="2:13" ht="16.5" customHeight="1">
      <c r="B69" s="705" t="s">
        <v>829</v>
      </c>
      <c r="C69" s="706"/>
      <c r="D69" s="706"/>
      <c r="E69" s="706"/>
      <c r="F69" s="1778" t="s">
        <v>830</v>
      </c>
      <c r="G69" s="1779"/>
      <c r="H69" s="227" t="s">
        <v>402</v>
      </c>
      <c r="I69" s="2316">
        <f>213*1.1+0.4*5.27</f>
        <v>236.40800000000002</v>
      </c>
      <c r="J69" s="2332"/>
      <c r="K69" s="1061"/>
      <c r="L69" s="1061"/>
      <c r="M69" s="235"/>
    </row>
    <row r="70" spans="2:13" ht="16.5" customHeight="1">
      <c r="B70" s="705" t="s">
        <v>831</v>
      </c>
      <c r="C70" s="706"/>
      <c r="D70" s="706"/>
      <c r="E70" s="706"/>
      <c r="F70" s="1778" t="s">
        <v>832</v>
      </c>
      <c r="G70" s="1779"/>
      <c r="H70" s="227" t="s">
        <v>402</v>
      </c>
      <c r="I70" s="2316">
        <f>273*1.1+0.6*5.27</f>
        <v>303.462</v>
      </c>
      <c r="J70" s="2332"/>
      <c r="K70" s="1061"/>
      <c r="L70" s="1061"/>
      <c r="M70" s="235"/>
    </row>
    <row r="71" spans="2:13" ht="15.75" customHeight="1" hidden="1">
      <c r="B71" s="1902" t="s">
        <v>531</v>
      </c>
      <c r="C71" s="1811"/>
      <c r="D71" s="1811"/>
      <c r="E71" s="1812"/>
      <c r="F71" s="1778" t="s">
        <v>502</v>
      </c>
      <c r="G71" s="1779"/>
      <c r="H71" s="227" t="s">
        <v>402</v>
      </c>
      <c r="I71" s="2316">
        <f>54*1.1+0.31*5.27</f>
        <v>61.0337</v>
      </c>
      <c r="J71" s="2332"/>
      <c r="K71" s="1061"/>
      <c r="L71" s="1061"/>
      <c r="M71" s="235"/>
    </row>
    <row r="72" spans="2:19" s="704" customFormat="1" ht="19.5" customHeight="1">
      <c r="B72" s="1121" t="s">
        <v>1079</v>
      </c>
      <c r="C72" s="1070"/>
      <c r="D72" s="1070"/>
      <c r="E72" s="1122"/>
      <c r="F72" s="1958" t="s">
        <v>1080</v>
      </c>
      <c r="G72" s="1959"/>
      <c r="H72" s="227" t="s">
        <v>402</v>
      </c>
      <c r="I72" s="2316">
        <f>N72*1.1+1.758*5.27</f>
        <v>724.2646600000002</v>
      </c>
      <c r="J72" s="2332"/>
      <c r="K72" s="1061"/>
      <c r="L72" s="1061"/>
      <c r="M72" s="1063" t="e">
        <f>#REF!/#REF!-1</f>
        <v>#REF!</v>
      </c>
      <c r="N72" s="1476">
        <v>650</v>
      </c>
      <c r="O72" s="1476">
        <v>620</v>
      </c>
      <c r="P72" s="1476">
        <v>600</v>
      </c>
      <c r="Q72" s="1476">
        <v>580</v>
      </c>
      <c r="R72" s="1477">
        <v>550</v>
      </c>
      <c r="S72" s="8"/>
    </row>
    <row r="73" spans="2:19" s="704" customFormat="1" ht="19.5" customHeight="1">
      <c r="B73" s="1123" t="s">
        <v>1081</v>
      </c>
      <c r="C73" s="1124"/>
      <c r="D73" s="1124"/>
      <c r="E73" s="1125"/>
      <c r="F73" s="1960" t="s">
        <v>1082</v>
      </c>
      <c r="G73" s="1961"/>
      <c r="H73" s="227" t="s">
        <v>402</v>
      </c>
      <c r="I73" s="2316">
        <f>N73*1.1+0.3*5.27</f>
        <v>102.23100000000001</v>
      </c>
      <c r="J73" s="2332"/>
      <c r="K73" s="1061"/>
      <c r="L73" s="1061"/>
      <c r="M73" s="1063" t="e">
        <f>#REF!/#REF!-1</f>
        <v>#REF!</v>
      </c>
      <c r="N73" s="1476">
        <v>91.5</v>
      </c>
      <c r="O73" s="1476">
        <v>88.45</v>
      </c>
      <c r="P73" s="1476">
        <v>85.39999999999999</v>
      </c>
      <c r="Q73" s="1476">
        <v>82.35000000000001</v>
      </c>
      <c r="R73" s="1477">
        <v>79.3</v>
      </c>
      <c r="S73" s="8"/>
    </row>
    <row r="74" spans="2:13" ht="15" customHeight="1">
      <c r="B74" s="1851" t="s">
        <v>532</v>
      </c>
      <c r="C74" s="1776"/>
      <c r="D74" s="1776"/>
      <c r="E74" s="1777"/>
      <c r="F74" s="1829" t="s">
        <v>401</v>
      </c>
      <c r="G74" s="1876"/>
      <c r="H74" s="227" t="s">
        <v>402</v>
      </c>
      <c r="I74" s="2316">
        <f>69*1.1+0.4*5.27</f>
        <v>78.00800000000001</v>
      </c>
      <c r="J74" s="2332"/>
      <c r="K74" s="1061"/>
      <c r="L74" s="1061"/>
      <c r="M74" s="189"/>
    </row>
    <row r="75" spans="2:13" ht="15" customHeight="1" hidden="1">
      <c r="B75" s="1851" t="s">
        <v>533</v>
      </c>
      <c r="C75" s="1776"/>
      <c r="D75" s="1776"/>
      <c r="E75" s="1777"/>
      <c r="F75" s="1778" t="s">
        <v>534</v>
      </c>
      <c r="G75" s="1779"/>
      <c r="H75" s="227" t="s">
        <v>402</v>
      </c>
      <c r="I75" s="2316">
        <f>82*1.1+0.585*5.27</f>
        <v>93.28295</v>
      </c>
      <c r="J75" s="2332"/>
      <c r="K75" s="1061"/>
      <c r="L75" s="1061"/>
      <c r="M75" s="189"/>
    </row>
    <row r="76" spans="2:13" ht="15" customHeight="1">
      <c r="B76" s="1851" t="s">
        <v>535</v>
      </c>
      <c r="C76" s="1776"/>
      <c r="D76" s="1776"/>
      <c r="E76" s="1777"/>
      <c r="F76" s="1829" t="s">
        <v>403</v>
      </c>
      <c r="G76" s="1876"/>
      <c r="H76" s="227" t="s">
        <v>402</v>
      </c>
      <c r="I76" s="2316">
        <f>89*1.1+0.65*5.27</f>
        <v>101.3255</v>
      </c>
      <c r="J76" s="2332"/>
      <c r="K76" s="1061"/>
      <c r="L76" s="1061"/>
      <c r="M76" s="189"/>
    </row>
    <row r="77" spans="2:13" ht="15" customHeight="1">
      <c r="B77" s="1851" t="s">
        <v>404</v>
      </c>
      <c r="C77" s="1776"/>
      <c r="D77" s="1776"/>
      <c r="E77" s="1777"/>
      <c r="F77" s="1829" t="s">
        <v>405</v>
      </c>
      <c r="G77" s="1829"/>
      <c r="H77" s="227" t="s">
        <v>402</v>
      </c>
      <c r="I77" s="2316">
        <f>70*1.1+0.45*5.27</f>
        <v>79.3715</v>
      </c>
      <c r="J77" s="2332"/>
      <c r="K77" s="1061"/>
      <c r="L77" s="1061"/>
      <c r="M77" s="189"/>
    </row>
    <row r="78" spans="2:13" ht="15" customHeight="1">
      <c r="B78" s="1851" t="s">
        <v>404</v>
      </c>
      <c r="C78" s="1776"/>
      <c r="D78" s="1776"/>
      <c r="E78" s="1777"/>
      <c r="F78" s="1829" t="s">
        <v>406</v>
      </c>
      <c r="G78" s="1829"/>
      <c r="H78" s="227" t="s">
        <v>402</v>
      </c>
      <c r="I78" s="2316">
        <f>132*1.1+0.96*5.27</f>
        <v>150.25920000000002</v>
      </c>
      <c r="J78" s="2332"/>
      <c r="K78" s="1061"/>
      <c r="L78" s="1061"/>
      <c r="M78" s="189"/>
    </row>
    <row r="79" spans="2:13" ht="15" customHeight="1">
      <c r="B79" s="1851" t="s">
        <v>404</v>
      </c>
      <c r="C79" s="1776"/>
      <c r="D79" s="1776"/>
      <c r="E79" s="1777"/>
      <c r="F79" s="1829" t="s">
        <v>407</v>
      </c>
      <c r="G79" s="1829"/>
      <c r="H79" s="227" t="s">
        <v>402</v>
      </c>
      <c r="I79" s="2316">
        <f>249*1.1+1.82*5.27</f>
        <v>283.49140000000006</v>
      </c>
      <c r="J79" s="2332"/>
      <c r="K79" s="1061"/>
      <c r="L79" s="1061"/>
      <c r="M79" s="189"/>
    </row>
    <row r="80" spans="2:13" ht="15" customHeight="1">
      <c r="B80" s="1851" t="s">
        <v>408</v>
      </c>
      <c r="C80" s="1776"/>
      <c r="D80" s="1776"/>
      <c r="E80" s="1777"/>
      <c r="F80" s="1829" t="s">
        <v>409</v>
      </c>
      <c r="G80" s="1829"/>
      <c r="H80" s="227" t="s">
        <v>402</v>
      </c>
      <c r="I80" s="2316">
        <f>240*1.1+0.96*5.27</f>
        <v>269.0592</v>
      </c>
      <c r="J80" s="2332"/>
      <c r="K80" s="1061"/>
      <c r="L80" s="1061"/>
      <c r="M80" s="189"/>
    </row>
    <row r="81" spans="2:13" ht="15" customHeight="1">
      <c r="B81" s="1851" t="s">
        <v>410</v>
      </c>
      <c r="C81" s="1776"/>
      <c r="D81" s="1776"/>
      <c r="E81" s="1777"/>
      <c r="F81" s="1829" t="s">
        <v>406</v>
      </c>
      <c r="G81" s="1829"/>
      <c r="H81" s="227" t="s">
        <v>402</v>
      </c>
      <c r="I81" s="2316">
        <f>142*1.1+0.96*5.27</f>
        <v>161.25920000000002</v>
      </c>
      <c r="J81" s="2332"/>
      <c r="K81" s="1061"/>
      <c r="L81" s="1061"/>
      <c r="M81" s="189"/>
    </row>
    <row r="82" spans="2:13" ht="15" customHeight="1">
      <c r="B82" s="1851" t="s">
        <v>411</v>
      </c>
      <c r="C82" s="1776"/>
      <c r="D82" s="1776"/>
      <c r="E82" s="1777"/>
      <c r="F82" s="1829" t="s">
        <v>407</v>
      </c>
      <c r="G82" s="1829"/>
      <c r="H82" s="227" t="s">
        <v>402</v>
      </c>
      <c r="I82" s="2316">
        <f>240*1.1+1.8*5.27</f>
        <v>273.486</v>
      </c>
      <c r="J82" s="2332"/>
      <c r="K82" s="1061"/>
      <c r="L82" s="1061"/>
      <c r="M82" s="189"/>
    </row>
    <row r="83" spans="2:13" ht="15" customHeight="1">
      <c r="B83" s="1851" t="s">
        <v>412</v>
      </c>
      <c r="C83" s="1776"/>
      <c r="D83" s="1776"/>
      <c r="E83" s="1777"/>
      <c r="F83" s="1829" t="s">
        <v>406</v>
      </c>
      <c r="G83" s="1829"/>
      <c r="H83" s="227" t="s">
        <v>402</v>
      </c>
      <c r="I83" s="2316">
        <f>142*1.1+0.96*5.27</f>
        <v>161.25920000000002</v>
      </c>
      <c r="J83" s="2332"/>
      <c r="K83" s="1061"/>
      <c r="L83" s="1061"/>
      <c r="M83" s="189"/>
    </row>
    <row r="84" spans="2:13" ht="15" customHeight="1">
      <c r="B84" s="1851" t="s">
        <v>413</v>
      </c>
      <c r="C84" s="1776"/>
      <c r="D84" s="1776"/>
      <c r="E84" s="1777"/>
      <c r="F84" s="1829" t="s">
        <v>406</v>
      </c>
      <c r="G84" s="1829"/>
      <c r="H84" s="227" t="s">
        <v>402</v>
      </c>
      <c r="I84" s="2316">
        <f>142*1.1+0.96*5.27</f>
        <v>161.25920000000002</v>
      </c>
      <c r="J84" s="2332"/>
      <c r="K84" s="1061"/>
      <c r="L84" s="1061"/>
      <c r="M84" s="189"/>
    </row>
    <row r="85" spans="2:13" ht="15" customHeight="1">
      <c r="B85" s="1851" t="s">
        <v>414</v>
      </c>
      <c r="C85" s="1776"/>
      <c r="D85" s="1776"/>
      <c r="E85" s="1777"/>
      <c r="F85" s="1829" t="s">
        <v>415</v>
      </c>
      <c r="G85" s="1829"/>
      <c r="H85" s="227" t="s">
        <v>402</v>
      </c>
      <c r="I85" s="2316">
        <f>175*1.1+0.96*5.27</f>
        <v>197.55920000000003</v>
      </c>
      <c r="J85" s="2332"/>
      <c r="K85" s="1061"/>
      <c r="L85" s="1061"/>
      <c r="M85" s="189"/>
    </row>
    <row r="86" spans="2:13" ht="15.75" customHeight="1" thickBot="1">
      <c r="B86" s="1852" t="s">
        <v>416</v>
      </c>
      <c r="C86" s="1853"/>
      <c r="D86" s="1853"/>
      <c r="E86" s="1854"/>
      <c r="F86" s="1907" t="s">
        <v>417</v>
      </c>
      <c r="G86" s="1907"/>
      <c r="H86" s="230" t="s">
        <v>402</v>
      </c>
      <c r="I86" s="2334">
        <f>220*1.1+0.85*5.27</f>
        <v>246.47950000000003</v>
      </c>
      <c r="J86" s="2332"/>
      <c r="K86" s="1061"/>
      <c r="L86" s="1061"/>
      <c r="M86" s="189"/>
    </row>
    <row r="87" spans="2:13" ht="3" customHeight="1">
      <c r="B87" s="199"/>
      <c r="C87" s="199"/>
      <c r="D87" s="199"/>
      <c r="E87" s="199"/>
      <c r="F87" s="197"/>
      <c r="G87" s="197"/>
      <c r="H87" s="229"/>
      <c r="I87" s="229"/>
      <c r="J87" s="2348"/>
      <c r="K87" s="220"/>
      <c r="L87" s="217"/>
      <c r="M87" s="200"/>
    </row>
    <row r="88" spans="2:13" ht="3" customHeight="1" thickBot="1">
      <c r="B88" s="199"/>
      <c r="C88" s="199"/>
      <c r="D88" s="199"/>
      <c r="E88" s="199"/>
      <c r="F88" s="197"/>
      <c r="G88" s="197"/>
      <c r="H88" s="229"/>
      <c r="I88" s="229"/>
      <c r="J88" s="2348"/>
      <c r="K88" s="216"/>
      <c r="L88" s="217"/>
      <c r="M88" s="198"/>
    </row>
    <row r="89" spans="2:13" ht="23.25" customHeight="1" thickBot="1">
      <c r="B89" s="1903" t="s">
        <v>418</v>
      </c>
      <c r="C89" s="1904"/>
      <c r="D89" s="1904"/>
      <c r="E89" s="1905"/>
      <c r="F89" s="1906"/>
      <c r="G89" s="1906"/>
      <c r="H89" s="231"/>
      <c r="I89" s="1579" t="s">
        <v>1239</v>
      </c>
      <c r="J89" s="2330"/>
      <c r="K89" s="2327"/>
      <c r="L89" s="188"/>
      <c r="M89" s="188"/>
    </row>
    <row r="90" spans="2:13" ht="15" customHeight="1">
      <c r="B90" s="1840" t="s">
        <v>608</v>
      </c>
      <c r="C90" s="1841"/>
      <c r="D90" s="1842"/>
      <c r="E90" s="372" t="s">
        <v>545</v>
      </c>
      <c r="F90" s="1829" t="s">
        <v>419</v>
      </c>
      <c r="G90" s="1829"/>
      <c r="H90" s="227" t="s">
        <v>420</v>
      </c>
      <c r="I90" s="2316">
        <f>70*1.15*1.05</f>
        <v>84.525</v>
      </c>
      <c r="J90" s="2332"/>
      <c r="K90" s="265"/>
      <c r="L90" s="188"/>
      <c r="M90" s="8"/>
    </row>
    <row r="91" spans="2:13" ht="15" customHeight="1">
      <c r="B91" s="1822" t="s">
        <v>609</v>
      </c>
      <c r="C91" s="1823"/>
      <c r="D91" s="1824"/>
      <c r="E91" s="373" t="s">
        <v>545</v>
      </c>
      <c r="F91" s="1829" t="s">
        <v>419</v>
      </c>
      <c r="G91" s="1829"/>
      <c r="H91" s="227" t="s">
        <v>420</v>
      </c>
      <c r="I91" s="2316">
        <f>86*1.15*1.05</f>
        <v>103.845</v>
      </c>
      <c r="J91" s="2332"/>
      <c r="K91" s="265"/>
      <c r="L91" s="188"/>
      <c r="M91" s="8"/>
    </row>
    <row r="92" spans="2:13" ht="15" customHeight="1">
      <c r="B92" s="1822" t="s">
        <v>503</v>
      </c>
      <c r="C92" s="1823"/>
      <c r="D92" s="1824"/>
      <c r="E92" s="373" t="s">
        <v>545</v>
      </c>
      <c r="F92" s="1829" t="s">
        <v>419</v>
      </c>
      <c r="G92" s="1829"/>
      <c r="H92" s="227" t="s">
        <v>420</v>
      </c>
      <c r="I92" s="2316">
        <f>101*1.15*1.05</f>
        <v>121.9575</v>
      </c>
      <c r="J92" s="2332"/>
      <c r="K92" s="265"/>
      <c r="L92" s="188"/>
      <c r="M92" s="8"/>
    </row>
    <row r="93" spans="2:13" ht="15" customHeight="1">
      <c r="B93" s="1822" t="s">
        <v>536</v>
      </c>
      <c r="C93" s="1823"/>
      <c r="D93" s="1824"/>
      <c r="E93" s="374" t="s">
        <v>546</v>
      </c>
      <c r="F93" s="1829" t="s">
        <v>419</v>
      </c>
      <c r="G93" s="1829"/>
      <c r="H93" s="227" t="s">
        <v>420</v>
      </c>
      <c r="I93" s="2316">
        <f>77*1.15*1.05</f>
        <v>92.9775</v>
      </c>
      <c r="J93" s="2332"/>
      <c r="K93" s="265"/>
      <c r="L93" s="188"/>
      <c r="M93" s="8"/>
    </row>
    <row r="94" spans="2:13" ht="15" customHeight="1">
      <c r="B94" s="1822" t="s">
        <v>537</v>
      </c>
      <c r="C94" s="1823"/>
      <c r="D94" s="1824"/>
      <c r="E94" s="374" t="s">
        <v>546</v>
      </c>
      <c r="F94" s="1829" t="s">
        <v>419</v>
      </c>
      <c r="G94" s="1829"/>
      <c r="H94" s="227" t="s">
        <v>420</v>
      </c>
      <c r="I94" s="2316">
        <f>94*1.15*1.05</f>
        <v>113.505</v>
      </c>
      <c r="J94" s="2332"/>
      <c r="K94" s="265"/>
      <c r="L94" s="188"/>
      <c r="M94" s="8"/>
    </row>
    <row r="95" spans="2:13" ht="15" customHeight="1">
      <c r="B95" s="1822" t="s">
        <v>580</v>
      </c>
      <c r="C95" s="1823"/>
      <c r="D95" s="1824"/>
      <c r="E95" s="374" t="s">
        <v>546</v>
      </c>
      <c r="F95" s="1829" t="s">
        <v>419</v>
      </c>
      <c r="G95" s="1829"/>
      <c r="H95" s="227" t="s">
        <v>420</v>
      </c>
      <c r="I95" s="2316">
        <f>110*1.15*1.05</f>
        <v>132.825</v>
      </c>
      <c r="J95" s="2332"/>
      <c r="K95" s="265"/>
      <c r="L95" s="188"/>
      <c r="M95" s="8"/>
    </row>
    <row r="96" spans="2:13" ht="15" customHeight="1">
      <c r="B96" s="1822" t="s">
        <v>538</v>
      </c>
      <c r="C96" s="1823"/>
      <c r="D96" s="1824"/>
      <c r="E96" s="374" t="s">
        <v>547</v>
      </c>
      <c r="F96" s="1829" t="s">
        <v>419</v>
      </c>
      <c r="G96" s="1829"/>
      <c r="H96" s="227" t="s">
        <v>420</v>
      </c>
      <c r="I96" s="2316">
        <f>100*1.15*1.05</f>
        <v>120.74999999999999</v>
      </c>
      <c r="J96" s="2332"/>
      <c r="K96" s="265"/>
      <c r="L96" s="188"/>
      <c r="M96" s="8"/>
    </row>
    <row r="97" spans="2:13" ht="15" customHeight="1">
      <c r="B97" s="1822" t="s">
        <v>539</v>
      </c>
      <c r="C97" s="1823"/>
      <c r="D97" s="1824"/>
      <c r="E97" s="374" t="s">
        <v>547</v>
      </c>
      <c r="F97" s="1829" t="s">
        <v>419</v>
      </c>
      <c r="G97" s="1829"/>
      <c r="H97" s="227" t="s">
        <v>420</v>
      </c>
      <c r="I97" s="2316">
        <f>110*1.15*1.05</f>
        <v>132.825</v>
      </c>
      <c r="J97" s="2332"/>
      <c r="K97" s="265"/>
      <c r="L97" s="188"/>
      <c r="M97" s="8"/>
    </row>
    <row r="98" spans="2:13" ht="15" customHeight="1">
      <c r="B98" s="1822" t="s">
        <v>504</v>
      </c>
      <c r="C98" s="1823"/>
      <c r="D98" s="1824"/>
      <c r="E98" s="374" t="s">
        <v>547</v>
      </c>
      <c r="F98" s="1829" t="s">
        <v>419</v>
      </c>
      <c r="G98" s="1829"/>
      <c r="H98" s="227" t="s">
        <v>420</v>
      </c>
      <c r="I98" s="2316">
        <f>114*1.15*1.05</f>
        <v>137.655</v>
      </c>
      <c r="J98" s="2332"/>
      <c r="K98" s="265"/>
      <c r="L98" s="188"/>
      <c r="M98" s="8"/>
    </row>
    <row r="99" spans="2:13" ht="15" customHeight="1">
      <c r="B99" s="1822" t="s">
        <v>540</v>
      </c>
      <c r="C99" s="1823"/>
      <c r="D99" s="1824"/>
      <c r="E99" s="373" t="s">
        <v>545</v>
      </c>
      <c r="F99" s="1829" t="s">
        <v>421</v>
      </c>
      <c r="G99" s="1829"/>
      <c r="H99" s="227" t="s">
        <v>420</v>
      </c>
      <c r="I99" s="2316">
        <f>132*1.15*1.05</f>
        <v>159.39</v>
      </c>
      <c r="J99" s="2332"/>
      <c r="K99" s="265"/>
      <c r="L99" s="188"/>
      <c r="M99" s="8"/>
    </row>
    <row r="100" spans="2:13" ht="15" customHeight="1">
      <c r="B100" s="1822" t="s">
        <v>541</v>
      </c>
      <c r="C100" s="1823"/>
      <c r="D100" s="1824"/>
      <c r="E100" s="373" t="s">
        <v>545</v>
      </c>
      <c r="F100" s="1829" t="s">
        <v>421</v>
      </c>
      <c r="G100" s="1829"/>
      <c r="H100" s="227" t="s">
        <v>420</v>
      </c>
      <c r="I100" s="2316">
        <f>163*1.15*1.05</f>
        <v>196.8225</v>
      </c>
      <c r="J100" s="2332"/>
      <c r="K100" s="265"/>
      <c r="L100" s="188"/>
      <c r="M100" s="8"/>
    </row>
    <row r="101" spans="2:13" ht="15" customHeight="1">
      <c r="B101" s="1822" t="s">
        <v>505</v>
      </c>
      <c r="C101" s="1823"/>
      <c r="D101" s="1824"/>
      <c r="E101" s="373" t="s">
        <v>545</v>
      </c>
      <c r="F101" s="1829" t="s">
        <v>421</v>
      </c>
      <c r="G101" s="1829"/>
      <c r="H101" s="227" t="s">
        <v>420</v>
      </c>
      <c r="I101" s="2316">
        <f>190*1.15*1.05</f>
        <v>229.42499999999998</v>
      </c>
      <c r="J101" s="2332"/>
      <c r="K101" s="265"/>
      <c r="L101" s="188"/>
      <c r="M101" s="8"/>
    </row>
    <row r="102" spans="2:13" ht="15" customHeight="1">
      <c r="B102" s="1822" t="s">
        <v>506</v>
      </c>
      <c r="C102" s="1823"/>
      <c r="D102" s="1824"/>
      <c r="E102" s="374" t="s">
        <v>548</v>
      </c>
      <c r="F102" s="1829" t="s">
        <v>421</v>
      </c>
      <c r="G102" s="1829"/>
      <c r="H102" s="227" t="s">
        <v>420</v>
      </c>
      <c r="I102" s="2316">
        <f>169*1.15*1.05</f>
        <v>204.0675</v>
      </c>
      <c r="J102" s="2332"/>
      <c r="K102" s="265"/>
      <c r="L102" s="188"/>
      <c r="M102" s="8"/>
    </row>
    <row r="103" spans="2:13" ht="15" customHeight="1">
      <c r="B103" s="1822" t="s">
        <v>542</v>
      </c>
      <c r="C103" s="1823"/>
      <c r="D103" s="1824"/>
      <c r="E103" s="374" t="s">
        <v>548</v>
      </c>
      <c r="F103" s="1829" t="s">
        <v>421</v>
      </c>
      <c r="G103" s="1829"/>
      <c r="H103" s="227" t="s">
        <v>420</v>
      </c>
      <c r="I103" s="2316">
        <f>183*1.15*1.05</f>
        <v>220.9725</v>
      </c>
      <c r="J103" s="2332"/>
      <c r="K103" s="265"/>
      <c r="L103" s="188"/>
      <c r="M103" s="8"/>
    </row>
    <row r="104" spans="2:13" ht="15" customHeight="1">
      <c r="B104" s="1822" t="s">
        <v>507</v>
      </c>
      <c r="C104" s="1823"/>
      <c r="D104" s="1824"/>
      <c r="E104" s="374" t="s">
        <v>548</v>
      </c>
      <c r="F104" s="1829" t="s">
        <v>421</v>
      </c>
      <c r="G104" s="1829"/>
      <c r="H104" s="227" t="s">
        <v>420</v>
      </c>
      <c r="I104" s="2316">
        <f>213*1.15*1.05</f>
        <v>257.1975</v>
      </c>
      <c r="J104" s="2332"/>
      <c r="K104" s="265"/>
      <c r="L104" s="188"/>
      <c r="M104" s="8"/>
    </row>
    <row r="105" spans="2:13" ht="15" customHeight="1">
      <c r="B105" s="1822" t="s">
        <v>543</v>
      </c>
      <c r="C105" s="1823"/>
      <c r="D105" s="1824"/>
      <c r="E105" s="374" t="s">
        <v>549</v>
      </c>
      <c r="F105" s="1829" t="s">
        <v>421</v>
      </c>
      <c r="G105" s="1829"/>
      <c r="H105" s="227" t="s">
        <v>420</v>
      </c>
      <c r="I105" s="2316">
        <f>182*1.15*1.05</f>
        <v>219.765</v>
      </c>
      <c r="J105" s="2332"/>
      <c r="K105" s="265"/>
      <c r="L105" s="188"/>
      <c r="M105" s="8"/>
    </row>
    <row r="106" spans="2:13" ht="15" customHeight="1">
      <c r="B106" s="1822" t="s">
        <v>544</v>
      </c>
      <c r="C106" s="1823"/>
      <c r="D106" s="1824"/>
      <c r="E106" s="374" t="s">
        <v>549</v>
      </c>
      <c r="F106" s="1829" t="s">
        <v>421</v>
      </c>
      <c r="G106" s="1829"/>
      <c r="H106" s="227" t="s">
        <v>420</v>
      </c>
      <c r="I106" s="2316">
        <f>189*1.15*1.05</f>
        <v>228.2175</v>
      </c>
      <c r="J106" s="2332"/>
      <c r="K106" s="265"/>
      <c r="L106" s="188"/>
      <c r="M106" s="8"/>
    </row>
    <row r="107" spans="2:13" ht="15" customHeight="1">
      <c r="B107" s="1822" t="s">
        <v>581</v>
      </c>
      <c r="C107" s="1823"/>
      <c r="D107" s="1824"/>
      <c r="E107" s="374" t="s">
        <v>549</v>
      </c>
      <c r="F107" s="1829" t="s">
        <v>421</v>
      </c>
      <c r="G107" s="1829"/>
      <c r="H107" s="227" t="s">
        <v>420</v>
      </c>
      <c r="I107" s="2316">
        <f>222*1.15*1.05</f>
        <v>268.065</v>
      </c>
      <c r="J107" s="2332"/>
      <c r="K107" s="265"/>
      <c r="L107" s="188"/>
      <c r="M107" s="8"/>
    </row>
    <row r="108" spans="2:13" ht="15" customHeight="1">
      <c r="B108" s="1822" t="s">
        <v>508</v>
      </c>
      <c r="C108" s="1823"/>
      <c r="D108" s="1824"/>
      <c r="E108" s="374" t="s">
        <v>550</v>
      </c>
      <c r="F108" s="1829" t="s">
        <v>421</v>
      </c>
      <c r="G108" s="1829"/>
      <c r="H108" s="227" t="s">
        <v>420</v>
      </c>
      <c r="I108" s="2316">
        <f>210*1.15*1.05</f>
        <v>253.575</v>
      </c>
      <c r="J108" s="2332"/>
      <c r="K108" s="265"/>
      <c r="L108" s="188"/>
      <c r="M108" s="8"/>
    </row>
    <row r="109" spans="2:13" ht="15" customHeight="1">
      <c r="B109" s="1840" t="s">
        <v>509</v>
      </c>
      <c r="C109" s="1841"/>
      <c r="D109" s="1842"/>
      <c r="E109" s="374" t="s">
        <v>550</v>
      </c>
      <c r="F109" s="1829" t="s">
        <v>421</v>
      </c>
      <c r="G109" s="1829"/>
      <c r="H109" s="227" t="s">
        <v>420</v>
      </c>
      <c r="I109" s="2316">
        <f>233*1.15*1.05</f>
        <v>281.3475</v>
      </c>
      <c r="J109" s="2332"/>
      <c r="K109" s="265"/>
      <c r="L109" s="188"/>
      <c r="M109" s="8"/>
    </row>
    <row r="110" spans="2:13" ht="15" customHeight="1">
      <c r="B110" s="1840" t="s">
        <v>510</v>
      </c>
      <c r="C110" s="1841"/>
      <c r="D110" s="1842"/>
      <c r="E110" s="374" t="s">
        <v>550</v>
      </c>
      <c r="F110" s="1829" t="s">
        <v>421</v>
      </c>
      <c r="G110" s="1829"/>
      <c r="H110" s="227" t="s">
        <v>420</v>
      </c>
      <c r="I110" s="2316">
        <f>278*1.15*1.05</f>
        <v>335.685</v>
      </c>
      <c r="J110" s="2332"/>
      <c r="K110" s="265"/>
      <c r="L110" s="188"/>
      <c r="M110" s="8"/>
    </row>
    <row r="111" spans="2:13" ht="15" customHeight="1">
      <c r="B111" s="1820" t="s">
        <v>453</v>
      </c>
      <c r="C111" s="1821"/>
      <c r="D111" s="1821"/>
      <c r="E111" s="373" t="s">
        <v>545</v>
      </c>
      <c r="F111" s="1778" t="s">
        <v>454</v>
      </c>
      <c r="G111" s="1779"/>
      <c r="H111" s="236" t="s">
        <v>420</v>
      </c>
      <c r="I111" s="2316">
        <f>445*1.15*1.05</f>
        <v>537.3375</v>
      </c>
      <c r="J111" s="2332"/>
      <c r="K111" s="265"/>
      <c r="L111" s="188"/>
      <c r="M111" s="8"/>
    </row>
    <row r="112" spans="2:13" ht="15" customHeight="1">
      <c r="B112" s="1820" t="s">
        <v>551</v>
      </c>
      <c r="C112" s="1821"/>
      <c r="D112" s="1821"/>
      <c r="E112" s="373" t="s">
        <v>548</v>
      </c>
      <c r="F112" s="1778" t="s">
        <v>454</v>
      </c>
      <c r="G112" s="1779"/>
      <c r="H112" s="236" t="s">
        <v>420</v>
      </c>
      <c r="I112" s="2316">
        <f>478*1.15*1.05</f>
        <v>577.185</v>
      </c>
      <c r="J112" s="2332"/>
      <c r="K112" s="265"/>
      <c r="L112" s="188"/>
      <c r="M112" s="8"/>
    </row>
    <row r="113" spans="2:13" ht="15" customHeight="1">
      <c r="B113" s="1820" t="s">
        <v>552</v>
      </c>
      <c r="C113" s="1821"/>
      <c r="D113" s="1821"/>
      <c r="E113" s="373" t="s">
        <v>549</v>
      </c>
      <c r="F113" s="1778" t="s">
        <v>454</v>
      </c>
      <c r="G113" s="1779"/>
      <c r="H113" s="236" t="s">
        <v>420</v>
      </c>
      <c r="I113" s="2316">
        <f>519*1.15*1.05</f>
        <v>626.6924999999999</v>
      </c>
      <c r="J113" s="2332"/>
      <c r="K113" s="265"/>
      <c r="L113" s="188"/>
      <c r="M113" s="8"/>
    </row>
    <row r="114" spans="2:13" ht="15" customHeight="1">
      <c r="B114" s="1820" t="s">
        <v>553</v>
      </c>
      <c r="C114" s="1821"/>
      <c r="D114" s="1821"/>
      <c r="E114" s="374" t="s">
        <v>550</v>
      </c>
      <c r="F114" s="1778" t="s">
        <v>454</v>
      </c>
      <c r="G114" s="1779"/>
      <c r="H114" s="236" t="s">
        <v>420</v>
      </c>
      <c r="I114" s="2316">
        <f>445*1.15*1.05</f>
        <v>537.3375</v>
      </c>
      <c r="J114" s="2332"/>
      <c r="K114" s="265"/>
      <c r="L114" s="188"/>
      <c r="M114" s="8"/>
    </row>
    <row r="115" spans="2:13" ht="15" customHeight="1">
      <c r="B115" s="1820" t="s">
        <v>489</v>
      </c>
      <c r="C115" s="1821"/>
      <c r="D115" s="1821"/>
      <c r="E115" s="373" t="s">
        <v>545</v>
      </c>
      <c r="F115" s="1778" t="s">
        <v>454</v>
      </c>
      <c r="G115" s="1779"/>
      <c r="H115" s="236" t="s">
        <v>420</v>
      </c>
      <c r="I115" s="2316">
        <f>445*1.15*1.05</f>
        <v>537.3375</v>
      </c>
      <c r="J115" s="2332"/>
      <c r="K115" s="265"/>
      <c r="L115" s="188"/>
      <c r="M115" s="8"/>
    </row>
    <row r="116" spans="2:13" ht="31.5" customHeight="1">
      <c r="B116" s="1820" t="s">
        <v>554</v>
      </c>
      <c r="C116" s="1821"/>
      <c r="D116" s="1891"/>
      <c r="E116" s="373" t="s">
        <v>547</v>
      </c>
      <c r="F116" s="1829" t="s">
        <v>422</v>
      </c>
      <c r="G116" s="1829"/>
      <c r="H116" s="227" t="s">
        <v>420</v>
      </c>
      <c r="I116" s="2316">
        <f>441*1.15*1.05</f>
        <v>532.5075</v>
      </c>
      <c r="J116" s="2332"/>
      <c r="K116" s="265"/>
      <c r="L116" s="188"/>
      <c r="M116" s="8"/>
    </row>
    <row r="117" spans="2:19" s="704" customFormat="1" ht="31.5" customHeight="1">
      <c r="B117" s="1912" t="s">
        <v>890</v>
      </c>
      <c r="C117" s="1913"/>
      <c r="D117" s="1913"/>
      <c r="E117" s="810" t="s">
        <v>547</v>
      </c>
      <c r="F117" s="1910" t="s">
        <v>891</v>
      </c>
      <c r="G117" s="1911"/>
      <c r="H117" s="227" t="s">
        <v>420</v>
      </c>
      <c r="I117" s="2316">
        <f>M117*1.15*1.05</f>
        <v>386.40000000000003</v>
      </c>
      <c r="J117" s="2332"/>
      <c r="K117" s="265"/>
      <c r="L117" s="188"/>
      <c r="M117" s="8">
        <v>320</v>
      </c>
      <c r="N117" s="8">
        <v>305</v>
      </c>
      <c r="O117" s="8">
        <v>295</v>
      </c>
      <c r="P117" s="8">
        <v>280</v>
      </c>
      <c r="Q117" s="8">
        <v>270</v>
      </c>
      <c r="R117" s="8"/>
      <c r="S117" s="8"/>
    </row>
    <row r="118" spans="2:19" s="704" customFormat="1" ht="31.5" customHeight="1">
      <c r="B118" s="1908" t="s">
        <v>892</v>
      </c>
      <c r="C118" s="1909"/>
      <c r="D118" s="1909"/>
      <c r="E118" s="810" t="s">
        <v>550</v>
      </c>
      <c r="F118" s="1910" t="s">
        <v>893</v>
      </c>
      <c r="G118" s="1911"/>
      <c r="H118" s="227" t="s">
        <v>420</v>
      </c>
      <c r="I118" s="2316">
        <f>M118*1.15*1.05</f>
        <v>652.0500000000001</v>
      </c>
      <c r="J118" s="2332"/>
      <c r="K118" s="265"/>
      <c r="L118" s="188"/>
      <c r="M118" s="8">
        <v>540</v>
      </c>
      <c r="N118" s="8">
        <v>530</v>
      </c>
      <c r="O118" s="8">
        <v>520</v>
      </c>
      <c r="P118" s="8">
        <v>510</v>
      </c>
      <c r="Q118" s="8">
        <v>500</v>
      </c>
      <c r="R118" s="8"/>
      <c r="S118" s="8"/>
    </row>
    <row r="119" spans="2:19" s="704" customFormat="1" ht="31.5" customHeight="1">
      <c r="B119" s="1908" t="s">
        <v>894</v>
      </c>
      <c r="C119" s="1909"/>
      <c r="D119" s="1909"/>
      <c r="E119" s="811" t="s">
        <v>550</v>
      </c>
      <c r="F119" s="1910" t="s">
        <v>895</v>
      </c>
      <c r="G119" s="1911"/>
      <c r="H119" s="227" t="s">
        <v>420</v>
      </c>
      <c r="I119" s="2316">
        <f>M119*1.15*1.05</f>
        <v>350.175</v>
      </c>
      <c r="J119" s="2332"/>
      <c r="K119" s="265"/>
      <c r="L119" s="188"/>
      <c r="M119" s="8">
        <v>290</v>
      </c>
      <c r="N119" s="8">
        <v>280</v>
      </c>
      <c r="O119" s="8">
        <v>270</v>
      </c>
      <c r="P119" s="8">
        <v>260</v>
      </c>
      <c r="Q119" s="8">
        <v>245</v>
      </c>
      <c r="R119" s="8"/>
      <c r="S119" s="8"/>
    </row>
    <row r="120" spans="2:13" ht="15.75" customHeight="1" thickBot="1">
      <c r="B120" s="1855" t="s">
        <v>423</v>
      </c>
      <c r="C120" s="1856"/>
      <c r="D120" s="1856"/>
      <c r="E120" s="1882"/>
      <c r="F120" s="1907" t="s">
        <v>424</v>
      </c>
      <c r="G120" s="1907"/>
      <c r="H120" s="230" t="s">
        <v>420</v>
      </c>
      <c r="I120" s="2334">
        <f>160*1.15*1.05</f>
        <v>193.20000000000002</v>
      </c>
      <c r="J120" s="2332"/>
      <c r="K120" s="265"/>
      <c r="L120" s="188"/>
      <c r="M120" s="8"/>
    </row>
    <row r="121" spans="2:13" ht="7.5" customHeight="1">
      <c r="B121" s="199"/>
      <c r="C121" s="199"/>
      <c r="D121" s="199"/>
      <c r="E121" s="199"/>
      <c r="F121" s="197"/>
      <c r="G121" s="197"/>
      <c r="H121" s="229"/>
      <c r="I121" s="229"/>
      <c r="J121" s="216"/>
      <c r="K121" s="222"/>
      <c r="L121" s="217"/>
      <c r="M121" s="198"/>
    </row>
    <row r="122" spans="2:13" ht="15.75" hidden="1">
      <c r="B122" s="199"/>
      <c r="C122" s="199"/>
      <c r="D122" s="199"/>
      <c r="E122" s="199"/>
      <c r="F122" s="197"/>
      <c r="G122" s="197"/>
      <c r="H122" s="229"/>
      <c r="I122" s="229"/>
      <c r="J122" s="216"/>
      <c r="K122" s="222"/>
      <c r="L122" s="217"/>
      <c r="M122" s="198"/>
    </row>
    <row r="123" spans="2:13" ht="15.75" hidden="1">
      <c r="B123" s="199"/>
      <c r="C123" s="199"/>
      <c r="D123" s="199"/>
      <c r="E123" s="199"/>
      <c r="F123" s="197"/>
      <c r="G123" s="197"/>
      <c r="H123" s="229"/>
      <c r="I123" s="229"/>
      <c r="J123" s="216"/>
      <c r="K123" s="222"/>
      <c r="L123" s="217"/>
      <c r="M123" s="198"/>
    </row>
    <row r="124" spans="2:13" ht="6.75" customHeight="1">
      <c r="B124" s="70"/>
      <c r="C124" s="196"/>
      <c r="D124" s="196"/>
      <c r="E124" s="196"/>
      <c r="F124" s="197"/>
      <c r="G124" s="197"/>
      <c r="H124" s="229"/>
      <c r="I124" s="229"/>
      <c r="J124" s="216"/>
      <c r="K124" s="219"/>
      <c r="L124" s="217"/>
      <c r="M124" s="198"/>
    </row>
    <row r="125" spans="2:13" ht="15.75" customHeight="1">
      <c r="B125" s="1933" t="s">
        <v>400</v>
      </c>
      <c r="C125" s="1933"/>
      <c r="D125" s="1933"/>
      <c r="E125" s="1933"/>
      <c r="F125" s="1933"/>
      <c r="G125" s="1933"/>
      <c r="H125" s="232"/>
      <c r="I125" s="232"/>
      <c r="J125" s="223"/>
      <c r="K125" s="223"/>
      <c r="L125" s="217"/>
      <c r="M125" s="204"/>
    </row>
    <row r="126" spans="2:13" ht="21.75" customHeight="1">
      <c r="B126" s="2351"/>
      <c r="C126" s="2352"/>
      <c r="D126" s="2352"/>
      <c r="E126" s="2352"/>
      <c r="F126" s="2352"/>
      <c r="G126" s="2352"/>
      <c r="H126" s="2352"/>
      <c r="I126" s="2353"/>
      <c r="J126" s="2354" t="s">
        <v>1239</v>
      </c>
      <c r="K126" s="2350"/>
      <c r="L126" s="2349"/>
      <c r="M126" s="8"/>
    </row>
    <row r="127" spans="2:13" ht="18.75" customHeight="1">
      <c r="B127" s="2356" t="s">
        <v>896</v>
      </c>
      <c r="C127" s="1935"/>
      <c r="D127" s="1935"/>
      <c r="E127" s="1935"/>
      <c r="F127" s="1935"/>
      <c r="G127" s="1935"/>
      <c r="H127" s="1935"/>
      <c r="I127" s="1935"/>
      <c r="J127" s="1935"/>
      <c r="K127" s="2358"/>
      <c r="L127" s="2357"/>
      <c r="M127" s="8"/>
    </row>
    <row r="128" spans="2:19" s="704" customFormat="1" ht="18.75" customHeight="1">
      <c r="B128" s="1233" t="s">
        <v>897</v>
      </c>
      <c r="C128" s="1776" t="s">
        <v>898</v>
      </c>
      <c r="D128" s="1776"/>
      <c r="E128" s="1776"/>
      <c r="F128" s="1777"/>
      <c r="G128" s="1778" t="s">
        <v>899</v>
      </c>
      <c r="H128" s="1779"/>
      <c r="I128" s="812" t="s">
        <v>364</v>
      </c>
      <c r="J128" s="2316">
        <f>N128*1.05+16*7.2</f>
        <v>2582.7</v>
      </c>
      <c r="K128" s="2332"/>
      <c r="L128" s="265"/>
      <c r="M128" s="8"/>
      <c r="N128" s="1478">
        <v>2350</v>
      </c>
      <c r="O128" s="1478">
        <v>2250</v>
      </c>
      <c r="P128" s="1479">
        <v>2200</v>
      </c>
      <c r="Q128" s="8"/>
      <c r="R128" s="8"/>
      <c r="S128" s="8"/>
    </row>
    <row r="129" spans="2:16" ht="24" customHeight="1">
      <c r="B129" s="1234" t="s">
        <v>900</v>
      </c>
      <c r="C129" s="1780" t="s">
        <v>901</v>
      </c>
      <c r="D129" s="1781"/>
      <c r="E129" s="1781"/>
      <c r="F129" s="1782"/>
      <c r="G129" s="1783" t="s">
        <v>902</v>
      </c>
      <c r="H129" s="1783"/>
      <c r="I129" s="812" t="s">
        <v>364</v>
      </c>
      <c r="J129" s="2316">
        <f>N129*1.05+10*7.2</f>
        <v>2056.5</v>
      </c>
      <c r="K129" s="2332"/>
      <c r="L129" s="265"/>
      <c r="M129" s="8"/>
      <c r="N129" s="1480">
        <v>1890</v>
      </c>
      <c r="O129" s="1481">
        <v>1815</v>
      </c>
      <c r="P129" s="1482">
        <v>1750</v>
      </c>
    </row>
    <row r="130" spans="2:16" ht="24" customHeight="1">
      <c r="B130" s="1234" t="s">
        <v>903</v>
      </c>
      <c r="C130" s="813" t="s">
        <v>904</v>
      </c>
      <c r="D130" s="707"/>
      <c r="E130" s="707"/>
      <c r="F130" s="707"/>
      <c r="G130" s="1783" t="s">
        <v>902</v>
      </c>
      <c r="H130" s="1783"/>
      <c r="I130" s="812" t="s">
        <v>364</v>
      </c>
      <c r="J130" s="2316">
        <f>N130*1.05+10.5*7.2</f>
        <v>2322.6</v>
      </c>
      <c r="K130" s="2332"/>
      <c r="L130" s="265"/>
      <c r="M130" s="8"/>
      <c r="N130" s="1480">
        <v>2140</v>
      </c>
      <c r="O130" s="1481">
        <v>2060</v>
      </c>
      <c r="P130" s="1482">
        <v>1985</v>
      </c>
    </row>
    <row r="131" spans="2:16" ht="24" customHeight="1">
      <c r="B131" s="1234" t="s">
        <v>905</v>
      </c>
      <c r="C131" s="1780" t="s">
        <v>906</v>
      </c>
      <c r="D131" s="1781"/>
      <c r="E131" s="1781"/>
      <c r="F131" s="1782"/>
      <c r="G131" s="1783" t="s">
        <v>907</v>
      </c>
      <c r="H131" s="1783"/>
      <c r="I131" s="812" t="s">
        <v>364</v>
      </c>
      <c r="J131" s="2316">
        <f>N131*1.05+2.4*7.2</f>
        <v>752.28</v>
      </c>
      <c r="K131" s="2332"/>
      <c r="L131" s="265"/>
      <c r="M131" s="8"/>
      <c r="N131" s="1480">
        <v>700</v>
      </c>
      <c r="O131" s="1480">
        <v>650</v>
      </c>
      <c r="P131" s="1482">
        <v>600</v>
      </c>
    </row>
    <row r="132" spans="2:16" ht="24" customHeight="1">
      <c r="B132" s="1234" t="s">
        <v>908</v>
      </c>
      <c r="C132" s="813" t="s">
        <v>909</v>
      </c>
      <c r="D132" s="707"/>
      <c r="E132" s="707"/>
      <c r="F132" s="707"/>
      <c r="G132" s="1783" t="s">
        <v>910</v>
      </c>
      <c r="H132" s="1783"/>
      <c r="I132" s="812" t="s">
        <v>364</v>
      </c>
      <c r="J132" s="2316">
        <f>N132*1.05+2.5*7.2</f>
        <v>858</v>
      </c>
      <c r="K132" s="2332"/>
      <c r="L132" s="265"/>
      <c r="M132" s="8"/>
      <c r="N132" s="1480">
        <v>800</v>
      </c>
      <c r="O132" s="1480">
        <v>750</v>
      </c>
      <c r="P132" s="1482">
        <v>700</v>
      </c>
    </row>
    <row r="133" spans="2:16" ht="24" customHeight="1">
      <c r="B133" s="1234" t="s">
        <v>911</v>
      </c>
      <c r="C133" s="1780" t="s">
        <v>912</v>
      </c>
      <c r="D133" s="1781"/>
      <c r="E133" s="1781"/>
      <c r="F133" s="1782"/>
      <c r="G133" s="1783" t="s">
        <v>913</v>
      </c>
      <c r="H133" s="1783"/>
      <c r="I133" s="812" t="s">
        <v>364</v>
      </c>
      <c r="J133" s="2316">
        <f>N133*1.05+2*7.2</f>
        <v>906.9</v>
      </c>
      <c r="K133" s="2332"/>
      <c r="L133" s="265"/>
      <c r="M133" s="8"/>
      <c r="N133" s="1480">
        <v>850</v>
      </c>
      <c r="O133" s="1480">
        <v>800</v>
      </c>
      <c r="P133" s="1482">
        <v>750</v>
      </c>
    </row>
    <row r="134" spans="2:16" ht="24" customHeight="1">
      <c r="B134" s="1234" t="s">
        <v>914</v>
      </c>
      <c r="C134" s="813" t="s">
        <v>915</v>
      </c>
      <c r="D134" s="707"/>
      <c r="E134" s="707"/>
      <c r="F134" s="707"/>
      <c r="G134" s="1783" t="s">
        <v>916</v>
      </c>
      <c r="H134" s="1783"/>
      <c r="I134" s="812" t="s">
        <v>364</v>
      </c>
      <c r="J134" s="2316">
        <f>N134*1.05+16*7.2</f>
        <v>2031.45</v>
      </c>
      <c r="K134" s="2332"/>
      <c r="L134" s="265"/>
      <c r="M134" s="8"/>
      <c r="N134" s="1480">
        <v>1825</v>
      </c>
      <c r="O134" s="1480">
        <v>1750</v>
      </c>
      <c r="P134" s="1482">
        <v>1680</v>
      </c>
    </row>
    <row r="135" spans="2:16" ht="24" customHeight="1" thickBot="1">
      <c r="B135" s="1235" t="s">
        <v>917</v>
      </c>
      <c r="C135" s="814" t="s">
        <v>918</v>
      </c>
      <c r="D135" s="708"/>
      <c r="E135" s="708"/>
      <c r="F135" s="708"/>
      <c r="G135" s="1792" t="s">
        <v>919</v>
      </c>
      <c r="H135" s="1792"/>
      <c r="I135" s="815" t="s">
        <v>364</v>
      </c>
      <c r="J135" s="2334">
        <f>N135*1.05+8*7.2</f>
        <v>992.1</v>
      </c>
      <c r="K135" s="2332"/>
      <c r="L135" s="265"/>
      <c r="M135" s="8"/>
      <c r="N135" s="1483">
        <v>890</v>
      </c>
      <c r="O135" s="1483">
        <v>850</v>
      </c>
      <c r="P135" s="1484">
        <v>825</v>
      </c>
    </row>
    <row r="136" spans="2:16" ht="24" customHeight="1" thickBot="1">
      <c r="B136" s="1236"/>
      <c r="C136" s="1229"/>
      <c r="D136" s="1230"/>
      <c r="E136" s="1230"/>
      <c r="F136" s="1230"/>
      <c r="G136" s="1231"/>
      <c r="H136" s="1231"/>
      <c r="I136" s="1232"/>
      <c r="J136" s="265"/>
      <c r="K136" s="2332"/>
      <c r="L136" s="265"/>
      <c r="M136" s="8"/>
      <c r="N136" s="1485"/>
      <c r="O136" s="1485"/>
      <c r="P136" s="1486"/>
    </row>
    <row r="137" spans="2:19" s="1237" customFormat="1" ht="33" customHeight="1">
      <c r="B137" s="1395" t="s">
        <v>1142</v>
      </c>
      <c r="C137" s="1803" t="s">
        <v>1143</v>
      </c>
      <c r="D137" s="1804"/>
      <c r="E137" s="1805" t="s">
        <v>1144</v>
      </c>
      <c r="F137" s="1806"/>
      <c r="G137" s="1807" t="s">
        <v>1145</v>
      </c>
      <c r="H137" s="1808"/>
      <c r="I137" s="1396" t="s">
        <v>364</v>
      </c>
      <c r="J137" s="2355">
        <f>N137*1.05+4.7*7.2</f>
        <v>698.9310000000002</v>
      </c>
      <c r="K137" s="2332"/>
      <c r="L137" s="265"/>
      <c r="M137" s="1487"/>
      <c r="N137" s="1488">
        <v>633.4200000000001</v>
      </c>
      <c r="O137" s="1488">
        <v>609.96</v>
      </c>
      <c r="P137" s="1489">
        <v>586.5</v>
      </c>
      <c r="Q137" s="1067"/>
      <c r="R137" s="1067"/>
      <c r="S137" s="1067"/>
    </row>
    <row r="138" spans="2:19" s="1237" customFormat="1" ht="33" customHeight="1">
      <c r="B138" s="1397"/>
      <c r="C138" s="1788" t="s">
        <v>1146</v>
      </c>
      <c r="D138" s="1789"/>
      <c r="E138" s="1797" t="s">
        <v>1147</v>
      </c>
      <c r="F138" s="1798"/>
      <c r="G138" s="1795" t="s">
        <v>1148</v>
      </c>
      <c r="H138" s="1796"/>
      <c r="I138" s="1398" t="s">
        <v>364</v>
      </c>
      <c r="J138" s="2316">
        <f>N138*1.05+0.6*7.2</f>
        <v>177.822</v>
      </c>
      <c r="K138" s="2332"/>
      <c r="L138" s="265"/>
      <c r="M138" s="1487"/>
      <c r="N138" s="1490">
        <v>165.24</v>
      </c>
      <c r="O138" s="1490">
        <v>159.12</v>
      </c>
      <c r="P138" s="1491">
        <v>153</v>
      </c>
      <c r="Q138" s="1067"/>
      <c r="R138" s="1067"/>
      <c r="S138" s="1067"/>
    </row>
    <row r="139" spans="2:19" s="1237" customFormat="1" ht="33" customHeight="1">
      <c r="B139" s="1397" t="s">
        <v>1149</v>
      </c>
      <c r="C139" s="1788" t="s">
        <v>1150</v>
      </c>
      <c r="D139" s="1789"/>
      <c r="E139" s="1797" t="s">
        <v>1144</v>
      </c>
      <c r="F139" s="1798"/>
      <c r="G139" s="1795" t="s">
        <v>1145</v>
      </c>
      <c r="H139" s="1796"/>
      <c r="I139" s="1398" t="s">
        <v>364</v>
      </c>
      <c r="J139" s="2316">
        <f>N139*1.05+4.5*7.2</f>
        <v>1333.6650000000004</v>
      </c>
      <c r="K139" s="2332"/>
      <c r="L139" s="265"/>
      <c r="M139" s="1487"/>
      <c r="N139" s="1490">
        <v>1239.3000000000002</v>
      </c>
      <c r="O139" s="1490">
        <v>1193.4</v>
      </c>
      <c r="P139" s="1491">
        <v>1147.5</v>
      </c>
      <c r="Q139" s="1067"/>
      <c r="R139" s="1067"/>
      <c r="S139" s="1067"/>
    </row>
    <row r="140" spans="2:19" s="1237" customFormat="1" ht="30.75" customHeight="1">
      <c r="B140" s="1397" t="s">
        <v>1151</v>
      </c>
      <c r="C140" s="1788" t="s">
        <v>1152</v>
      </c>
      <c r="D140" s="1789"/>
      <c r="E140" s="1797" t="s">
        <v>1144</v>
      </c>
      <c r="F140" s="1798"/>
      <c r="G140" s="1795" t="s">
        <v>1145</v>
      </c>
      <c r="H140" s="1796"/>
      <c r="I140" s="1398" t="s">
        <v>364</v>
      </c>
      <c r="J140" s="2316">
        <f>N140*1.05+6*7.2</f>
        <v>2284.2675000000004</v>
      </c>
      <c r="K140" s="2332"/>
      <c r="L140" s="265"/>
      <c r="M140" s="1487"/>
      <c r="N140" s="1490">
        <v>2134.3500000000004</v>
      </c>
      <c r="O140" s="1490">
        <v>2055.3</v>
      </c>
      <c r="P140" s="1491">
        <v>1976.25</v>
      </c>
      <c r="Q140" s="1067"/>
      <c r="R140" s="1067"/>
      <c r="S140" s="1067"/>
    </row>
    <row r="141" spans="2:19" s="1237" customFormat="1" ht="34.5" customHeight="1">
      <c r="B141" s="1397" t="s">
        <v>1153</v>
      </c>
      <c r="C141" s="1788" t="s">
        <v>1154</v>
      </c>
      <c r="D141" s="1789"/>
      <c r="E141" s="1797" t="s">
        <v>1144</v>
      </c>
      <c r="F141" s="1798"/>
      <c r="G141" s="1795" t="s">
        <v>1145</v>
      </c>
      <c r="H141" s="1796"/>
      <c r="I141" s="1398" t="s">
        <v>364</v>
      </c>
      <c r="J141" s="2316">
        <f>N141*1.05+7*7.2</f>
        <v>3202.3530000000005</v>
      </c>
      <c r="K141" s="2332"/>
      <c r="L141" s="265"/>
      <c r="M141" s="1487"/>
      <c r="N141" s="1490">
        <v>3001.86</v>
      </c>
      <c r="O141" s="1490">
        <v>2890.68</v>
      </c>
      <c r="P141" s="1491">
        <v>2779.5</v>
      </c>
      <c r="Q141" s="1067"/>
      <c r="R141" s="1067"/>
      <c r="S141" s="1067"/>
    </row>
    <row r="142" spans="2:19" s="1237" customFormat="1" ht="43.5" customHeight="1">
      <c r="B142" s="1397" t="s">
        <v>1155</v>
      </c>
      <c r="C142" s="1788" t="s">
        <v>1156</v>
      </c>
      <c r="D142" s="1789"/>
      <c r="E142" s="1797" t="s">
        <v>1144</v>
      </c>
      <c r="F142" s="1798"/>
      <c r="G142" s="1795" t="s">
        <v>1157</v>
      </c>
      <c r="H142" s="1796"/>
      <c r="I142" s="1398" t="s">
        <v>364</v>
      </c>
      <c r="J142" s="2316">
        <f>N142*1.05+10*7.2</f>
        <v>2313.0675000000006</v>
      </c>
      <c r="K142" s="2332"/>
      <c r="L142" s="265"/>
      <c r="M142" s="1487"/>
      <c r="N142" s="1490">
        <v>2134.3500000000004</v>
      </c>
      <c r="O142" s="1490">
        <v>2055.3</v>
      </c>
      <c r="P142" s="1491">
        <v>1976.25</v>
      </c>
      <c r="Q142" s="1067"/>
      <c r="R142" s="1067"/>
      <c r="S142" s="1067"/>
    </row>
    <row r="143" spans="2:19" s="1237" customFormat="1" ht="32.25" customHeight="1">
      <c r="B143" s="1397" t="s">
        <v>1158</v>
      </c>
      <c r="C143" s="1788" t="s">
        <v>1159</v>
      </c>
      <c r="D143" s="1789"/>
      <c r="E143" s="1790"/>
      <c r="F143" s="1791"/>
      <c r="G143" s="1793" t="s">
        <v>1160</v>
      </c>
      <c r="H143" s="1794"/>
      <c r="I143" s="1398" t="s">
        <v>364</v>
      </c>
      <c r="J143" s="2316">
        <f>N143*1.05+6*7.2</f>
        <v>1705.9275000000002</v>
      </c>
      <c r="K143" s="2332"/>
      <c r="L143" s="265"/>
      <c r="M143" s="1487"/>
      <c r="N143" s="1490">
        <v>1583.5500000000002</v>
      </c>
      <c r="O143" s="1490">
        <v>1524.9</v>
      </c>
      <c r="P143" s="1491">
        <v>1466.25</v>
      </c>
      <c r="Q143" s="1067"/>
      <c r="R143" s="1067"/>
      <c r="S143" s="1067"/>
    </row>
    <row r="144" spans="2:19" s="1237" customFormat="1" ht="27.75" customHeight="1">
      <c r="B144" s="1397" t="s">
        <v>1161</v>
      </c>
      <c r="C144" s="1788" t="s">
        <v>1159</v>
      </c>
      <c r="D144" s="1789"/>
      <c r="E144" s="1790"/>
      <c r="F144" s="1791"/>
      <c r="G144" s="1793" t="s">
        <v>1162</v>
      </c>
      <c r="H144" s="1794"/>
      <c r="I144" s="1398" t="s">
        <v>364</v>
      </c>
      <c r="J144" s="2316">
        <f>N144*1.05+6.2*7.2</f>
        <v>2213.415</v>
      </c>
      <c r="K144" s="2332"/>
      <c r="L144" s="265"/>
      <c r="M144" s="1487"/>
      <c r="N144" s="1490">
        <v>2065.5</v>
      </c>
      <c r="O144" s="1490">
        <v>1989</v>
      </c>
      <c r="P144" s="1491">
        <v>1912.5</v>
      </c>
      <c r="Q144" s="1067"/>
      <c r="R144" s="1067"/>
      <c r="S144" s="1067"/>
    </row>
    <row r="145" spans="2:19" s="1237" customFormat="1" ht="29.25" customHeight="1">
      <c r="B145" s="1397" t="s">
        <v>1163</v>
      </c>
      <c r="C145" s="1788" t="s">
        <v>1159</v>
      </c>
      <c r="D145" s="1789"/>
      <c r="E145" s="1790"/>
      <c r="F145" s="1791"/>
      <c r="G145" s="1793" t="s">
        <v>1164</v>
      </c>
      <c r="H145" s="1794"/>
      <c r="I145" s="1398" t="s">
        <v>364</v>
      </c>
      <c r="J145" s="2316">
        <f>N145*1.05+7*7.2</f>
        <v>2291.4675000000007</v>
      </c>
      <c r="K145" s="2332"/>
      <c r="L145" s="265"/>
      <c r="M145" s="1487"/>
      <c r="N145" s="1490">
        <v>2134.3500000000004</v>
      </c>
      <c r="O145" s="1490">
        <v>2055.3</v>
      </c>
      <c r="P145" s="1491">
        <v>1976.25</v>
      </c>
      <c r="Q145" s="1067"/>
      <c r="R145" s="1067"/>
      <c r="S145" s="1067"/>
    </row>
    <row r="146" spans="2:19" s="1237" customFormat="1" ht="32.25" customHeight="1">
      <c r="B146" s="1397"/>
      <c r="C146" s="1788" t="s">
        <v>1165</v>
      </c>
      <c r="D146" s="1789"/>
      <c r="E146" s="1790"/>
      <c r="F146" s="1791"/>
      <c r="G146" s="1795" t="s">
        <v>1166</v>
      </c>
      <c r="H146" s="1796"/>
      <c r="I146" s="1398" t="s">
        <v>364</v>
      </c>
      <c r="J146" s="2316">
        <f>N146*1.05+0.092*7.2</f>
        <v>78.30990000000001</v>
      </c>
      <c r="K146" s="2332"/>
      <c r="L146" s="265"/>
      <c r="M146" s="1487"/>
      <c r="N146" s="1490">
        <v>73.95</v>
      </c>
      <c r="O146" s="1490">
        <v>71.39999999999999</v>
      </c>
      <c r="P146" s="1491">
        <v>68.85000000000001</v>
      </c>
      <c r="Q146" s="1067"/>
      <c r="R146" s="1067"/>
      <c r="S146" s="1067"/>
    </row>
    <row r="147" spans="2:19" s="1237" customFormat="1" ht="32.25" customHeight="1">
      <c r="B147" s="1397"/>
      <c r="C147" s="1788" t="s">
        <v>1167</v>
      </c>
      <c r="D147" s="1789"/>
      <c r="E147" s="1790"/>
      <c r="F147" s="1791"/>
      <c r="G147" s="1795" t="s">
        <v>1168</v>
      </c>
      <c r="H147" s="1796"/>
      <c r="I147" s="1398" t="s">
        <v>364</v>
      </c>
      <c r="J147" s="2316">
        <f>N147*1.05+0.022*7.2</f>
        <v>19.011213000000005</v>
      </c>
      <c r="K147" s="2332"/>
      <c r="L147" s="265"/>
      <c r="M147" s="1487"/>
      <c r="N147" s="1490">
        <v>17.955060000000003</v>
      </c>
      <c r="O147" s="1490">
        <v>17.33592</v>
      </c>
      <c r="P147" s="1491">
        <v>16.716780000000004</v>
      </c>
      <c r="Q147" s="1067"/>
      <c r="R147" s="1067"/>
      <c r="S147" s="1067"/>
    </row>
    <row r="148" spans="2:19" s="1237" customFormat="1" ht="30.75" customHeight="1">
      <c r="B148" s="1397"/>
      <c r="C148" s="1788" t="s">
        <v>1169</v>
      </c>
      <c r="D148" s="1789"/>
      <c r="E148" s="1790"/>
      <c r="F148" s="1791"/>
      <c r="G148" s="1795" t="s">
        <v>1170</v>
      </c>
      <c r="H148" s="1796"/>
      <c r="I148" s="1398" t="s">
        <v>1171</v>
      </c>
      <c r="J148" s="2316">
        <f>N148*1.05+4.644*7.2</f>
        <v>2133.0252</v>
      </c>
      <c r="K148" s="2332"/>
      <c r="L148" s="265"/>
      <c r="M148" s="1487"/>
      <c r="N148" s="1490">
        <v>1999.608</v>
      </c>
      <c r="O148" s="1490">
        <v>1930.6559999999997</v>
      </c>
      <c r="P148" s="1491">
        <v>1861.7040000000002</v>
      </c>
      <c r="Q148" s="1067"/>
      <c r="R148" s="1067"/>
      <c r="S148" s="1067"/>
    </row>
    <row r="149" spans="2:19" s="1237" customFormat="1" ht="33" customHeight="1" thickBot="1">
      <c r="B149" s="1399"/>
      <c r="C149" s="1784" t="s">
        <v>1172</v>
      </c>
      <c r="D149" s="1785"/>
      <c r="E149" s="1786"/>
      <c r="F149" s="1787"/>
      <c r="G149" s="1786"/>
      <c r="H149" s="1787"/>
      <c r="I149" s="1400" t="s">
        <v>364</v>
      </c>
      <c r="J149" s="2317">
        <f>N149*1.05+0.164*7.2</f>
        <v>109.88730000000001</v>
      </c>
      <c r="K149" s="2332"/>
      <c r="L149" s="265"/>
      <c r="M149" s="1487"/>
      <c r="N149" s="1492">
        <v>103.53</v>
      </c>
      <c r="O149" s="1492">
        <v>99.96000000000001</v>
      </c>
      <c r="P149" s="1493">
        <v>96.39000000000001</v>
      </c>
      <c r="Q149" s="1067"/>
      <c r="R149" s="1067"/>
      <c r="S149" s="1067"/>
    </row>
    <row r="150" spans="2:13" ht="15" customHeight="1">
      <c r="B150" s="202"/>
      <c r="C150" s="203"/>
      <c r="D150" s="203"/>
      <c r="E150" s="203"/>
      <c r="F150" s="203"/>
      <c r="G150" s="203"/>
      <c r="H150" s="232"/>
      <c r="I150" s="232"/>
      <c r="J150" s="223"/>
      <c r="K150" s="223"/>
      <c r="L150" s="188"/>
      <c r="M150" s="8"/>
    </row>
    <row r="151" spans="2:13" ht="16.5" customHeight="1">
      <c r="B151" s="1934" t="s">
        <v>425</v>
      </c>
      <c r="C151" s="1935"/>
      <c r="D151" s="1935"/>
      <c r="E151" s="1935"/>
      <c r="F151" s="1935"/>
      <c r="G151" s="1935"/>
      <c r="H151" s="1935"/>
      <c r="I151" s="2362" t="s">
        <v>1239</v>
      </c>
      <c r="J151" s="2358"/>
      <c r="K151" s="2357"/>
      <c r="L151" s="188"/>
      <c r="M151" s="198"/>
    </row>
    <row r="152" spans="2:19" s="704" customFormat="1" ht="15">
      <c r="B152" s="1827" t="s">
        <v>768</v>
      </c>
      <c r="C152" s="1828"/>
      <c r="D152" s="1828"/>
      <c r="E152" s="1828"/>
      <c r="F152" s="1829" t="s">
        <v>426</v>
      </c>
      <c r="G152" s="1829"/>
      <c r="H152" s="227" t="s">
        <v>420</v>
      </c>
      <c r="I152" s="2359">
        <v>1773.6</v>
      </c>
      <c r="J152" s="2361"/>
      <c r="K152" s="188"/>
      <c r="L152" s="210"/>
      <c r="M152" s="1494"/>
      <c r="N152" s="8"/>
      <c r="O152" s="8"/>
      <c r="P152" s="8"/>
      <c r="Q152" s="8"/>
      <c r="R152" s="8"/>
      <c r="S152" s="8"/>
    </row>
    <row r="153" spans="2:19" s="704" customFormat="1" ht="27" customHeight="1">
      <c r="B153" s="1827" t="s">
        <v>939</v>
      </c>
      <c r="C153" s="1828"/>
      <c r="D153" s="1828"/>
      <c r="E153" s="1828"/>
      <c r="F153" s="1829" t="s">
        <v>427</v>
      </c>
      <c r="G153" s="1829"/>
      <c r="H153" s="227" t="s">
        <v>420</v>
      </c>
      <c r="I153" s="2359">
        <v>873</v>
      </c>
      <c r="J153" s="2361"/>
      <c r="K153" s="188"/>
      <c r="L153" s="210"/>
      <c r="M153" s="194"/>
      <c r="N153" s="8"/>
      <c r="O153" s="8"/>
      <c r="P153" s="8"/>
      <c r="Q153" s="8"/>
      <c r="R153" s="8"/>
      <c r="S153" s="8"/>
    </row>
    <row r="154" spans="2:19" s="704" customFormat="1" ht="27.75" customHeight="1">
      <c r="B154" s="1827" t="s">
        <v>769</v>
      </c>
      <c r="C154" s="1828"/>
      <c r="D154" s="1828"/>
      <c r="E154" s="1828"/>
      <c r="F154" s="1829" t="s">
        <v>428</v>
      </c>
      <c r="G154" s="1829"/>
      <c r="H154" s="227" t="s">
        <v>420</v>
      </c>
      <c r="I154" s="2359">
        <v>3855</v>
      </c>
      <c r="J154" s="2361"/>
      <c r="K154" s="188"/>
      <c r="L154" s="816"/>
      <c r="M154" s="194"/>
      <c r="N154" s="8"/>
      <c r="O154" s="8"/>
      <c r="P154" s="8"/>
      <c r="Q154" s="8"/>
      <c r="R154" s="8"/>
      <c r="S154" s="8"/>
    </row>
    <row r="155" spans="2:19" s="704" customFormat="1" ht="28.5" customHeight="1">
      <c r="B155" s="1827" t="s">
        <v>940</v>
      </c>
      <c r="C155" s="1828"/>
      <c r="D155" s="1828"/>
      <c r="E155" s="1828"/>
      <c r="F155" s="1829" t="s">
        <v>429</v>
      </c>
      <c r="G155" s="1829"/>
      <c r="H155" s="227" t="s">
        <v>420</v>
      </c>
      <c r="I155" s="2359">
        <v>2045.4</v>
      </c>
      <c r="J155" s="2361"/>
      <c r="K155" s="188"/>
      <c r="L155" s="217"/>
      <c r="M155" s="194"/>
      <c r="N155" s="8"/>
      <c r="O155" s="8"/>
      <c r="P155" s="8"/>
      <c r="Q155" s="8"/>
      <c r="R155" s="8"/>
      <c r="S155" s="8"/>
    </row>
    <row r="156" spans="2:19" s="704" customFormat="1" ht="21" customHeight="1">
      <c r="B156" s="1820" t="s">
        <v>820</v>
      </c>
      <c r="C156" s="1821"/>
      <c r="D156" s="1821"/>
      <c r="E156" s="1821"/>
      <c r="F156" s="1778" t="s">
        <v>821</v>
      </c>
      <c r="G156" s="1779"/>
      <c r="H156" s="227" t="s">
        <v>420</v>
      </c>
      <c r="I156" s="2359">
        <v>1434.12</v>
      </c>
      <c r="J156" s="2361"/>
      <c r="K156" s="188"/>
      <c r="L156" s="217"/>
      <c r="M156" s="194"/>
      <c r="N156" s="8"/>
      <c r="O156" s="8"/>
      <c r="P156" s="8"/>
      <c r="Q156" s="8"/>
      <c r="R156" s="8"/>
      <c r="S156" s="8"/>
    </row>
    <row r="157" spans="2:19" s="704" customFormat="1" ht="15.75" customHeight="1">
      <c r="B157" s="1820" t="s">
        <v>822</v>
      </c>
      <c r="C157" s="1821"/>
      <c r="D157" s="1821"/>
      <c r="E157" s="1821"/>
      <c r="F157" s="1778" t="s">
        <v>823</v>
      </c>
      <c r="G157" s="1779"/>
      <c r="H157" s="227" t="s">
        <v>420</v>
      </c>
      <c r="I157" s="2359">
        <v>850.3560000000001</v>
      </c>
      <c r="J157" s="2361"/>
      <c r="K157" s="188"/>
      <c r="L157" s="217"/>
      <c r="M157" s="194"/>
      <c r="N157" s="8"/>
      <c r="O157" s="8"/>
      <c r="P157" s="8"/>
      <c r="Q157" s="8"/>
      <c r="R157" s="8"/>
      <c r="S157" s="8"/>
    </row>
    <row r="158" spans="2:19" s="704" customFormat="1" ht="15">
      <c r="B158" s="1820" t="s">
        <v>824</v>
      </c>
      <c r="C158" s="1821"/>
      <c r="D158" s="1821"/>
      <c r="E158" s="1821"/>
      <c r="F158" s="1778" t="s">
        <v>825</v>
      </c>
      <c r="G158" s="1779"/>
      <c r="H158" s="227" t="s">
        <v>420</v>
      </c>
      <c r="I158" s="2359">
        <v>3191.88</v>
      </c>
      <c r="J158" s="2361"/>
      <c r="K158" s="188"/>
      <c r="L158" s="217"/>
      <c r="M158" s="193"/>
      <c r="N158" s="8"/>
      <c r="O158" s="8"/>
      <c r="P158" s="8"/>
      <c r="Q158" s="8"/>
      <c r="R158" s="8"/>
      <c r="S158" s="8"/>
    </row>
    <row r="159" spans="2:19" s="704" customFormat="1" ht="15.75" thickBot="1">
      <c r="B159" s="1855" t="s">
        <v>826</v>
      </c>
      <c r="C159" s="1856"/>
      <c r="D159" s="1856"/>
      <c r="E159" s="1856"/>
      <c r="F159" s="1922" t="s">
        <v>827</v>
      </c>
      <c r="G159" s="1923"/>
      <c r="H159" s="230" t="s">
        <v>420</v>
      </c>
      <c r="I159" s="2360">
        <v>1261.5</v>
      </c>
      <c r="J159" s="2361"/>
      <c r="K159" s="188"/>
      <c r="L159" s="217"/>
      <c r="M159" s="189"/>
      <c r="N159" s="8"/>
      <c r="O159" s="8"/>
      <c r="P159" s="8"/>
      <c r="Q159" s="8"/>
      <c r="R159" s="8"/>
      <c r="S159" s="8"/>
    </row>
    <row r="160" spans="2:19" s="704" customFormat="1" ht="15.75" thickBot="1">
      <c r="B160" s="1225"/>
      <c r="C160" s="1225"/>
      <c r="D160" s="1225"/>
      <c r="E160" s="1225"/>
      <c r="F160" s="192"/>
      <c r="G160" s="192"/>
      <c r="H160" s="229"/>
      <c r="I160" s="1457"/>
      <c r="J160" s="1457"/>
      <c r="K160" s="188"/>
      <c r="L160" s="217"/>
      <c r="M160" s="189"/>
      <c r="N160" s="8"/>
      <c r="O160" s="8"/>
      <c r="P160" s="8"/>
      <c r="Q160" s="8"/>
      <c r="R160" s="8"/>
      <c r="S160" s="8"/>
    </row>
    <row r="161" spans="2:13" ht="25.5" customHeight="1" thickBot="1">
      <c r="B161" s="1925" t="s">
        <v>325</v>
      </c>
      <c r="C161" s="1926"/>
      <c r="D161" s="1926"/>
      <c r="E161" s="1926"/>
      <c r="F161" s="1926"/>
      <c r="G161" s="1926"/>
      <c r="H161" s="1926"/>
      <c r="I161" s="1926"/>
      <c r="J161" s="2373"/>
      <c r="K161" s="2370"/>
      <c r="L161" s="188"/>
      <c r="M161" s="1063"/>
    </row>
    <row r="162" spans="2:19" s="704" customFormat="1" ht="25.5" customHeight="1" thickBot="1">
      <c r="B162" s="1927" t="s">
        <v>1205</v>
      </c>
      <c r="C162" s="1928"/>
      <c r="D162" s="1928"/>
      <c r="E162" s="1929"/>
      <c r="F162" s="1930" t="s">
        <v>1206</v>
      </c>
      <c r="G162" s="1931"/>
      <c r="H162" s="1464" t="s">
        <v>420</v>
      </c>
      <c r="I162" s="2363">
        <f>N162*1.05+0.0624*7.2</f>
        <v>8.84928</v>
      </c>
      <c r="J162" s="2374"/>
      <c r="K162" s="2371"/>
      <c r="L162" s="188"/>
      <c r="M162" s="1063" t="e">
        <f>#REF!/K162-1</f>
        <v>#REF!</v>
      </c>
      <c r="N162" s="1495">
        <v>8</v>
      </c>
      <c r="O162" s="1495">
        <v>6.8</v>
      </c>
      <c r="P162" s="1496">
        <v>6</v>
      </c>
      <c r="Q162" s="8"/>
      <c r="R162" s="8"/>
      <c r="S162" s="8"/>
    </row>
    <row r="163" spans="2:19" s="704" customFormat="1" ht="25.5" customHeight="1">
      <c r="B163" s="1771" t="s">
        <v>1205</v>
      </c>
      <c r="C163" s="1772"/>
      <c r="D163" s="1772"/>
      <c r="E163" s="1773"/>
      <c r="F163" s="1774" t="s">
        <v>1207</v>
      </c>
      <c r="G163" s="1775"/>
      <c r="H163" s="713" t="s">
        <v>420</v>
      </c>
      <c r="I163" s="2364">
        <f>N163*1.05+0.05*7.2</f>
        <v>16.362000000000002</v>
      </c>
      <c r="J163" s="2374"/>
      <c r="K163" s="2371"/>
      <c r="L163" s="188"/>
      <c r="M163" s="1063" t="e">
        <f>#REF!/K163-1</f>
        <v>#REF!</v>
      </c>
      <c r="N163" s="1497">
        <v>15.24</v>
      </c>
      <c r="O163" s="1497">
        <v>12.954</v>
      </c>
      <c r="P163" s="1498">
        <v>11.43</v>
      </c>
      <c r="Q163" s="8"/>
      <c r="R163" s="8"/>
      <c r="S163" s="8"/>
    </row>
    <row r="164" spans="2:19" s="704" customFormat="1" ht="25.5" customHeight="1" thickBot="1">
      <c r="B164" s="1763" t="s">
        <v>1205</v>
      </c>
      <c r="C164" s="1764"/>
      <c r="D164" s="1764"/>
      <c r="E164" s="1765"/>
      <c r="F164" s="1766" t="s">
        <v>1208</v>
      </c>
      <c r="G164" s="1767"/>
      <c r="H164" s="828" t="s">
        <v>420</v>
      </c>
      <c r="I164" s="2365">
        <f>N164*1.05+0.06*7.2</f>
        <v>22.419</v>
      </c>
      <c r="J164" s="2374"/>
      <c r="K164" s="2371"/>
      <c r="L164" s="188"/>
      <c r="M164" s="1063" t="e">
        <f>#REF!/K164-1</f>
        <v>#REF!</v>
      </c>
      <c r="N164" s="1499">
        <v>20.94</v>
      </c>
      <c r="O164" s="1499">
        <v>17.799</v>
      </c>
      <c r="P164" s="1500">
        <v>15.705000000000002</v>
      </c>
      <c r="Q164" s="8"/>
      <c r="R164" s="8"/>
      <c r="S164" s="8"/>
    </row>
    <row r="165" spans="2:19" s="704" customFormat="1" ht="25.5" customHeight="1">
      <c r="B165" s="1771" t="s">
        <v>1205</v>
      </c>
      <c r="C165" s="1772"/>
      <c r="D165" s="1772"/>
      <c r="E165" s="1773"/>
      <c r="F165" s="1774" t="s">
        <v>1209</v>
      </c>
      <c r="G165" s="1775"/>
      <c r="H165" s="713" t="s">
        <v>420</v>
      </c>
      <c r="I165" s="2364">
        <f aca="true" t="shared" si="1" ref="I165:K166">N165*1.05+0.164*7.2</f>
        <v>24.280800000000003</v>
      </c>
      <c r="J165" s="2374"/>
      <c r="K165" s="2371"/>
      <c r="L165" s="188"/>
      <c r="M165" s="1063" t="e">
        <f>#REF!/K165-1</f>
        <v>#REF!</v>
      </c>
      <c r="N165" s="1497">
        <v>22</v>
      </c>
      <c r="O165" s="1497">
        <v>18.7</v>
      </c>
      <c r="P165" s="1498">
        <v>16.5</v>
      </c>
      <c r="Q165" s="8"/>
      <c r="R165" s="8"/>
      <c r="S165" s="8"/>
    </row>
    <row r="166" spans="2:19" s="704" customFormat="1" ht="25.5" customHeight="1" thickBot="1">
      <c r="B166" s="1763" t="s">
        <v>1205</v>
      </c>
      <c r="C166" s="1764"/>
      <c r="D166" s="1764"/>
      <c r="E166" s="1765"/>
      <c r="F166" s="1766" t="s">
        <v>1210</v>
      </c>
      <c r="G166" s="1767"/>
      <c r="H166" s="828" t="s">
        <v>420</v>
      </c>
      <c r="I166" s="2365">
        <f t="shared" si="1"/>
        <v>30.580800000000004</v>
      </c>
      <c r="J166" s="2374"/>
      <c r="K166" s="2371"/>
      <c r="L166" s="188"/>
      <c r="M166" s="1063" t="e">
        <f>#REF!/K166-1</f>
        <v>#REF!</v>
      </c>
      <c r="N166" s="1499">
        <v>28</v>
      </c>
      <c r="O166" s="1499">
        <v>23.8</v>
      </c>
      <c r="P166" s="1500">
        <v>21</v>
      </c>
      <c r="Q166" s="8"/>
      <c r="R166" s="8"/>
      <c r="S166" s="8"/>
    </row>
    <row r="167" spans="2:19" s="704" customFormat="1" ht="25.5" customHeight="1">
      <c r="B167" s="1771" t="s">
        <v>1211</v>
      </c>
      <c r="C167" s="1772"/>
      <c r="D167" s="1772"/>
      <c r="E167" s="1773"/>
      <c r="F167" s="1774" t="s">
        <v>1207</v>
      </c>
      <c r="G167" s="1775"/>
      <c r="H167" s="713" t="s">
        <v>420</v>
      </c>
      <c r="I167" s="2364">
        <f>N167*1.05+0.104*7.2</f>
        <v>10.1988</v>
      </c>
      <c r="J167" s="2374"/>
      <c r="K167" s="2371"/>
      <c r="L167" s="188"/>
      <c r="M167" s="1063" t="e">
        <f>#REF!/K167-1</f>
        <v>#REF!</v>
      </c>
      <c r="N167" s="1497">
        <v>9</v>
      </c>
      <c r="O167" s="1497">
        <v>7.6499999999999995</v>
      </c>
      <c r="P167" s="1498">
        <v>6.75</v>
      </c>
      <c r="Q167" s="8"/>
      <c r="R167" s="8"/>
      <c r="S167" s="8"/>
    </row>
    <row r="168" spans="2:19" s="704" customFormat="1" ht="25.5" customHeight="1" thickBot="1">
      <c r="B168" s="1763" t="s">
        <v>1212</v>
      </c>
      <c r="C168" s="1764"/>
      <c r="D168" s="1764"/>
      <c r="E168" s="1765"/>
      <c r="F168" s="1766" t="s">
        <v>1213</v>
      </c>
      <c r="G168" s="1767"/>
      <c r="H168" s="828" t="s">
        <v>420</v>
      </c>
      <c r="I168" s="2365">
        <f>N168*1.05+0.057*7.2</f>
        <v>5.2404</v>
      </c>
      <c r="J168" s="2374"/>
      <c r="K168" s="2371"/>
      <c r="L168" s="188"/>
      <c r="M168" s="1063" t="e">
        <f>#REF!/K168-1</f>
        <v>#REF!</v>
      </c>
      <c r="N168" s="1499">
        <v>4.6</v>
      </c>
      <c r="O168" s="1499">
        <v>3.9099999999999997</v>
      </c>
      <c r="P168" s="1500">
        <v>3.4499999999999997</v>
      </c>
      <c r="Q168" s="8"/>
      <c r="R168" s="8"/>
      <c r="S168" s="8"/>
    </row>
    <row r="169" spans="2:19" s="704" customFormat="1" ht="25.5" customHeight="1">
      <c r="B169" s="1771" t="s">
        <v>1211</v>
      </c>
      <c r="C169" s="1772"/>
      <c r="D169" s="1772"/>
      <c r="E169" s="1773"/>
      <c r="F169" s="1774" t="s">
        <v>1208</v>
      </c>
      <c r="G169" s="1775"/>
      <c r="H169" s="713" t="s">
        <v>420</v>
      </c>
      <c r="I169" s="2364">
        <f>N169*1.05+0.058*7.2</f>
        <v>11.7996</v>
      </c>
      <c r="J169" s="2374"/>
      <c r="K169" s="2371"/>
      <c r="L169" s="188"/>
      <c r="M169" s="1063" t="e">
        <f>#REF!/K169-1</f>
        <v>#REF!</v>
      </c>
      <c r="N169" s="1497">
        <v>10.84</v>
      </c>
      <c r="O169" s="1497">
        <v>9.214</v>
      </c>
      <c r="P169" s="1498">
        <v>8.129999999999999</v>
      </c>
      <c r="Q169" s="8"/>
      <c r="R169" s="8"/>
      <c r="S169" s="8"/>
    </row>
    <row r="170" spans="2:19" s="704" customFormat="1" ht="25.5" customHeight="1" thickBot="1">
      <c r="B170" s="1763" t="s">
        <v>1212</v>
      </c>
      <c r="C170" s="1764"/>
      <c r="D170" s="1764"/>
      <c r="E170" s="1765"/>
      <c r="F170" s="1766" t="s">
        <v>1214</v>
      </c>
      <c r="G170" s="1767"/>
      <c r="H170" s="828" t="s">
        <v>420</v>
      </c>
      <c r="I170" s="2365">
        <f>N170*1.05+0.008*7.2</f>
        <v>9.780600000000002</v>
      </c>
      <c r="J170" s="2374"/>
      <c r="K170" s="2371"/>
      <c r="L170" s="188"/>
      <c r="M170" s="1063" t="e">
        <f>#REF!/K170-1</f>
        <v>#REF!</v>
      </c>
      <c r="N170" s="1499">
        <v>9.26</v>
      </c>
      <c r="O170" s="1499">
        <v>7.8709999999999996</v>
      </c>
      <c r="P170" s="1500">
        <v>6.945</v>
      </c>
      <c r="Q170" s="8"/>
      <c r="R170" s="8"/>
      <c r="S170" s="8"/>
    </row>
    <row r="171" spans="2:19" s="704" customFormat="1" ht="25.5" customHeight="1">
      <c r="B171" s="1771" t="s">
        <v>1211</v>
      </c>
      <c r="C171" s="1772"/>
      <c r="D171" s="1772"/>
      <c r="E171" s="1773"/>
      <c r="F171" s="1774" t="s">
        <v>1209</v>
      </c>
      <c r="G171" s="1775"/>
      <c r="H171" s="713" t="s">
        <v>420</v>
      </c>
      <c r="I171" s="2364">
        <f>N171*1.05+0.074*7.2</f>
        <v>17.3328</v>
      </c>
      <c r="J171" s="2374"/>
      <c r="K171" s="2371"/>
      <c r="L171" s="188"/>
      <c r="M171" s="1063" t="e">
        <f>#REF!/K171-1</f>
        <v>#REF!</v>
      </c>
      <c r="N171" s="1497">
        <v>16</v>
      </c>
      <c r="O171" s="1497">
        <v>13.6</v>
      </c>
      <c r="P171" s="1498">
        <v>12</v>
      </c>
      <c r="Q171" s="8"/>
      <c r="R171" s="8"/>
      <c r="S171" s="8"/>
    </row>
    <row r="172" spans="2:19" s="704" customFormat="1" ht="25.5" customHeight="1" thickBot="1">
      <c r="B172" s="1763" t="s">
        <v>1212</v>
      </c>
      <c r="C172" s="1764"/>
      <c r="D172" s="1764"/>
      <c r="E172" s="1765"/>
      <c r="F172" s="1766" t="s">
        <v>1215</v>
      </c>
      <c r="G172" s="1767"/>
      <c r="H172" s="828" t="s">
        <v>420</v>
      </c>
      <c r="I172" s="2365">
        <f>N172*1.05+0.065*7.2</f>
        <v>6.348</v>
      </c>
      <c r="J172" s="2374"/>
      <c r="K172" s="2371"/>
      <c r="L172" s="188"/>
      <c r="M172" s="1063" t="e">
        <f>#REF!/K172-1</f>
        <v>#REF!</v>
      </c>
      <c r="N172" s="1499">
        <v>5.6</v>
      </c>
      <c r="O172" s="1499">
        <v>4.76</v>
      </c>
      <c r="P172" s="1500">
        <v>4.199999999999999</v>
      </c>
      <c r="Q172" s="8"/>
      <c r="R172" s="8"/>
      <c r="S172" s="8"/>
    </row>
    <row r="173" spans="2:19" s="704" customFormat="1" ht="25.5" customHeight="1">
      <c r="B173" s="1771" t="s">
        <v>1211</v>
      </c>
      <c r="C173" s="1772"/>
      <c r="D173" s="1772"/>
      <c r="E173" s="1773"/>
      <c r="F173" s="1774" t="s">
        <v>1210</v>
      </c>
      <c r="G173" s="1775"/>
      <c r="H173" s="713" t="s">
        <v>420</v>
      </c>
      <c r="I173" s="2364">
        <f>N173*1.05+0.077*7.2</f>
        <v>15.2544</v>
      </c>
      <c r="J173" s="2374"/>
      <c r="K173" s="2371"/>
      <c r="L173" s="188"/>
      <c r="M173" s="1063" t="e">
        <f>#REF!/K173-1</f>
        <v>#REF!</v>
      </c>
      <c r="N173" s="1497">
        <v>14</v>
      </c>
      <c r="O173" s="1497">
        <v>11.9</v>
      </c>
      <c r="P173" s="1498">
        <v>10.5</v>
      </c>
      <c r="Q173" s="8"/>
      <c r="R173" s="8"/>
      <c r="S173" s="8"/>
    </row>
    <row r="174" spans="2:19" s="704" customFormat="1" ht="25.5" customHeight="1" thickBot="1">
      <c r="B174" s="1763" t="s">
        <v>1212</v>
      </c>
      <c r="C174" s="1764"/>
      <c r="D174" s="1764"/>
      <c r="E174" s="1765"/>
      <c r="F174" s="1766" t="s">
        <v>1216</v>
      </c>
      <c r="G174" s="1767"/>
      <c r="H174" s="828" t="s">
        <v>420</v>
      </c>
      <c r="I174" s="2365">
        <f>N174*1.05+0.081*7.2</f>
        <v>11.0832</v>
      </c>
      <c r="J174" s="2374"/>
      <c r="K174" s="2371"/>
      <c r="L174" s="188"/>
      <c r="M174" s="1063" t="e">
        <f>#REF!/K174-1</f>
        <v>#REF!</v>
      </c>
      <c r="N174" s="1499">
        <v>10</v>
      </c>
      <c r="O174" s="1499">
        <v>8.5</v>
      </c>
      <c r="P174" s="1500">
        <v>7.5</v>
      </c>
      <c r="Q174" s="8"/>
      <c r="R174" s="8"/>
      <c r="S174" s="8"/>
    </row>
    <row r="175" spans="2:13" ht="15" customHeight="1" thickBot="1">
      <c r="B175" s="201"/>
      <c r="C175" s="201"/>
      <c r="D175" s="201"/>
      <c r="E175" s="201"/>
      <c r="F175" s="192"/>
      <c r="G175" s="192"/>
      <c r="H175" s="229"/>
      <c r="I175" s="229"/>
      <c r="J175" s="2348"/>
      <c r="K175" s="216"/>
      <c r="L175" s="217"/>
      <c r="M175" s="193"/>
    </row>
    <row r="176" spans="2:13" ht="15" customHeight="1">
      <c r="B176" s="1878"/>
      <c r="C176" s="1879"/>
      <c r="D176" s="1879"/>
      <c r="E176" s="1880"/>
      <c r="F176" s="1924"/>
      <c r="G176" s="1924"/>
      <c r="H176" s="234"/>
      <c r="I176" s="1579" t="s">
        <v>1239</v>
      </c>
      <c r="J176" s="2320"/>
      <c r="K176" s="2327"/>
      <c r="L176" s="218"/>
      <c r="M176" s="8"/>
    </row>
    <row r="177" spans="2:19" s="704" customFormat="1" ht="15.75" customHeight="1">
      <c r="B177" s="1832" t="s">
        <v>1019</v>
      </c>
      <c r="C177" s="1833"/>
      <c r="D177" s="1833"/>
      <c r="E177" s="1833"/>
      <c r="F177" s="1829" t="s">
        <v>430</v>
      </c>
      <c r="G177" s="1829"/>
      <c r="H177" s="236" t="s">
        <v>420</v>
      </c>
      <c r="I177" s="2335">
        <v>94</v>
      </c>
      <c r="J177" s="2332"/>
      <c r="K177" s="265"/>
      <c r="L177" s="217"/>
      <c r="M177" s="193"/>
      <c r="N177" s="8"/>
      <c r="O177" s="8"/>
      <c r="P177" s="8"/>
      <c r="Q177" s="8"/>
      <c r="R177" s="8"/>
      <c r="S177" s="8"/>
    </row>
    <row r="178" spans="2:19" s="704" customFormat="1" ht="15.75" customHeight="1">
      <c r="B178" s="1834" t="s">
        <v>1020</v>
      </c>
      <c r="C178" s="1835"/>
      <c r="D178" s="1835"/>
      <c r="E178" s="1835"/>
      <c r="F178" s="1864" t="s">
        <v>1023</v>
      </c>
      <c r="G178" s="1865"/>
      <c r="H178" s="236" t="s">
        <v>420</v>
      </c>
      <c r="I178" s="2335">
        <v>103.48150000000001</v>
      </c>
      <c r="J178" s="2332"/>
      <c r="K178" s="265"/>
      <c r="L178" s="217"/>
      <c r="M178" s="193"/>
      <c r="N178" s="8"/>
      <c r="O178" s="8"/>
      <c r="P178" s="8"/>
      <c r="Q178" s="8"/>
      <c r="R178" s="8"/>
      <c r="S178" s="8"/>
    </row>
    <row r="179" spans="2:19" s="704" customFormat="1" ht="15.75" customHeight="1">
      <c r="B179" s="1834" t="s">
        <v>1021</v>
      </c>
      <c r="C179" s="1835"/>
      <c r="D179" s="1835"/>
      <c r="E179" s="1835"/>
      <c r="F179" s="1864" t="s">
        <v>1024</v>
      </c>
      <c r="G179" s="1865"/>
      <c r="H179" s="236" t="s">
        <v>420</v>
      </c>
      <c r="I179" s="2335">
        <v>116.97500000000001</v>
      </c>
      <c r="J179" s="2332"/>
      <c r="K179" s="265"/>
      <c r="L179" s="217"/>
      <c r="M179" s="193"/>
      <c r="N179" s="8"/>
      <c r="O179" s="8"/>
      <c r="P179" s="8"/>
      <c r="Q179" s="8"/>
      <c r="R179" s="8"/>
      <c r="S179" s="8"/>
    </row>
    <row r="180" spans="2:19" s="704" customFormat="1" ht="15.75" customHeight="1">
      <c r="B180" s="1834" t="s">
        <v>1022</v>
      </c>
      <c r="C180" s="1835"/>
      <c r="D180" s="1835"/>
      <c r="E180" s="1835"/>
      <c r="F180" s="1864" t="s">
        <v>1025</v>
      </c>
      <c r="G180" s="1865"/>
      <c r="H180" s="236" t="s">
        <v>420</v>
      </c>
      <c r="I180" s="2335">
        <v>157.12</v>
      </c>
      <c r="J180" s="2332"/>
      <c r="K180" s="265"/>
      <c r="L180" s="217"/>
      <c r="M180" s="193"/>
      <c r="N180" s="8"/>
      <c r="O180" s="8"/>
      <c r="P180" s="8"/>
      <c r="Q180" s="8"/>
      <c r="R180" s="8"/>
      <c r="S180" s="8"/>
    </row>
    <row r="181" spans="2:19" s="704" customFormat="1" ht="15">
      <c r="B181" s="1832" t="s">
        <v>431</v>
      </c>
      <c r="C181" s="1833"/>
      <c r="D181" s="1833"/>
      <c r="E181" s="1833"/>
      <c r="F181" s="1829" t="s">
        <v>432</v>
      </c>
      <c r="G181" s="1829"/>
      <c r="H181" s="236" t="s">
        <v>420</v>
      </c>
      <c r="I181" s="2316">
        <v>82.5</v>
      </c>
      <c r="J181" s="2332"/>
      <c r="K181" s="265"/>
      <c r="L181" s="217"/>
      <c r="M181" s="221">
        <v>82.5</v>
      </c>
      <c r="N181" s="221">
        <v>80.4</v>
      </c>
      <c r="O181" s="187">
        <v>77.25</v>
      </c>
      <c r="P181" s="8"/>
      <c r="Q181" s="8"/>
      <c r="R181" s="8"/>
      <c r="S181" s="8"/>
    </row>
    <row r="182" spans="2:19" s="704" customFormat="1" ht="21.75" customHeight="1">
      <c r="B182" s="1832" t="s">
        <v>433</v>
      </c>
      <c r="C182" s="1833"/>
      <c r="D182" s="1833"/>
      <c r="E182" s="1833"/>
      <c r="F182" s="1829" t="s">
        <v>434</v>
      </c>
      <c r="G182" s="1829"/>
      <c r="H182" s="236" t="s">
        <v>420</v>
      </c>
      <c r="I182" s="2316">
        <v>520.38</v>
      </c>
      <c r="J182" s="2332"/>
      <c r="K182" s="265"/>
      <c r="L182" s="217"/>
      <c r="M182" s="710">
        <v>450</v>
      </c>
      <c r="N182" s="1501">
        <v>430</v>
      </c>
      <c r="O182" s="711">
        <v>400</v>
      </c>
      <c r="P182" s="8"/>
      <c r="Q182" s="8"/>
      <c r="R182" s="8"/>
      <c r="S182" s="8"/>
    </row>
    <row r="183" spans="2:19" s="704" customFormat="1" ht="22.5" customHeight="1">
      <c r="B183" s="1918" t="s">
        <v>435</v>
      </c>
      <c r="C183" s="1919"/>
      <c r="D183" s="1919"/>
      <c r="E183" s="1919"/>
      <c r="F183" s="1944" t="s">
        <v>436</v>
      </c>
      <c r="G183" s="1944"/>
      <c r="H183" s="1069" t="s">
        <v>420</v>
      </c>
      <c r="I183" s="2332">
        <v>43.08</v>
      </c>
      <c r="J183" s="2332"/>
      <c r="K183" s="265"/>
      <c r="L183" s="217"/>
      <c r="M183" s="189"/>
      <c r="N183" s="8"/>
      <c r="O183" s="8"/>
      <c r="P183" s="8"/>
      <c r="Q183" s="8"/>
      <c r="R183" s="8"/>
      <c r="S183" s="8"/>
    </row>
    <row r="184" spans="1:19" s="704" customFormat="1" ht="18.75" customHeight="1" thickBot="1">
      <c r="A184" s="712"/>
      <c r="B184" s="1861" t="s">
        <v>920</v>
      </c>
      <c r="C184" s="1862"/>
      <c r="D184" s="1862"/>
      <c r="E184" s="1863"/>
      <c r="F184" s="1846" t="s">
        <v>921</v>
      </c>
      <c r="G184" s="1847"/>
      <c r="H184" s="1401" t="s">
        <v>420</v>
      </c>
      <c r="I184" s="2335">
        <f>N184*1.05+0.00531*1850</f>
        <v>1269.8235</v>
      </c>
      <c r="J184" s="2332"/>
      <c r="K184" s="265"/>
      <c r="L184" s="218"/>
      <c r="M184" s="8"/>
      <c r="N184" s="1502">
        <v>1200</v>
      </c>
      <c r="O184" s="1503">
        <v>1120</v>
      </c>
      <c r="P184" s="1504">
        <v>1010</v>
      </c>
      <c r="Q184" s="8"/>
      <c r="R184" s="8"/>
      <c r="S184" s="8"/>
    </row>
    <row r="185" spans="1:19" s="704" customFormat="1" ht="15.75" customHeight="1">
      <c r="A185" s="431"/>
      <c r="B185" s="1851" t="s">
        <v>922</v>
      </c>
      <c r="C185" s="1776"/>
      <c r="D185" s="1776"/>
      <c r="E185" s="1777"/>
      <c r="F185" s="1778" t="s">
        <v>923</v>
      </c>
      <c r="G185" s="1779"/>
      <c r="H185" s="227" t="s">
        <v>420</v>
      </c>
      <c r="I185" s="2316">
        <v>1943.28</v>
      </c>
      <c r="J185" s="2332"/>
      <c r="K185" s="265"/>
      <c r="L185" s="218"/>
      <c r="M185" s="8"/>
      <c r="N185" s="8"/>
      <c r="O185" s="8"/>
      <c r="P185" s="8"/>
      <c r="Q185" s="8"/>
      <c r="R185" s="8"/>
      <c r="S185" s="8"/>
    </row>
    <row r="186" spans="2:19" s="1068" customFormat="1" ht="21" customHeight="1" thickBot="1">
      <c r="B186" s="1962" t="s">
        <v>1083</v>
      </c>
      <c r="C186" s="1963"/>
      <c r="D186" s="1963"/>
      <c r="E186" s="1964"/>
      <c r="F186" s="1965" t="s">
        <v>1084</v>
      </c>
      <c r="G186" s="1966"/>
      <c r="H186" s="1126" t="s">
        <v>420</v>
      </c>
      <c r="I186" s="2366">
        <f>N186*1.05+0.006*7.2</f>
        <v>5.2932</v>
      </c>
      <c r="J186" s="2374"/>
      <c r="K186" s="2371"/>
      <c r="L186" s="218"/>
      <c r="M186" s="1505"/>
      <c r="N186" s="208">
        <v>5</v>
      </c>
      <c r="O186" s="208">
        <v>4.8</v>
      </c>
      <c r="P186" s="208">
        <v>4.5</v>
      </c>
      <c r="Q186" s="208"/>
      <c r="R186" s="208"/>
      <c r="S186" s="208"/>
    </row>
    <row r="187" spans="2:13" ht="21" customHeight="1" thickBot="1">
      <c r="B187" s="201"/>
      <c r="C187" s="201"/>
      <c r="D187" s="201"/>
      <c r="E187" s="201"/>
      <c r="F187" s="192"/>
      <c r="G187" s="192"/>
      <c r="H187" s="229"/>
      <c r="I187" s="229"/>
      <c r="J187" s="2348"/>
      <c r="K187" s="216"/>
      <c r="M187" s="193"/>
    </row>
    <row r="188" spans="2:13" ht="27.75" customHeight="1">
      <c r="B188" s="1878"/>
      <c r="C188" s="1879"/>
      <c r="D188" s="1879"/>
      <c r="E188" s="1880"/>
      <c r="F188" s="1916"/>
      <c r="G188" s="1917"/>
      <c r="H188" s="225"/>
      <c r="I188" s="1579" t="s">
        <v>1239</v>
      </c>
      <c r="J188" s="2320"/>
      <c r="K188" s="2327"/>
      <c r="M188" s="193"/>
    </row>
    <row r="189" spans="2:19" s="704" customFormat="1" ht="23.25" customHeight="1">
      <c r="B189" s="1851" t="s">
        <v>809</v>
      </c>
      <c r="C189" s="1776"/>
      <c r="D189" s="1776"/>
      <c r="E189" s="1777"/>
      <c r="F189" s="1778" t="s">
        <v>437</v>
      </c>
      <c r="G189" s="1779"/>
      <c r="H189" s="227" t="s">
        <v>420</v>
      </c>
      <c r="I189" s="2335">
        <v>2230.35</v>
      </c>
      <c r="J189" s="2332"/>
      <c r="K189" s="265"/>
      <c r="L189" s="214"/>
      <c r="M189" s="193"/>
      <c r="N189" s="8"/>
      <c r="O189" s="8"/>
      <c r="P189" s="8"/>
      <c r="Q189" s="8"/>
      <c r="R189" s="8"/>
      <c r="S189" s="8"/>
    </row>
    <row r="190" spans="2:19" s="704" customFormat="1" ht="27" customHeight="1">
      <c r="B190" s="1755" t="s">
        <v>1217</v>
      </c>
      <c r="C190" s="1756"/>
      <c r="D190" s="1756"/>
      <c r="E190" s="1757"/>
      <c r="F190" s="1768" t="s">
        <v>437</v>
      </c>
      <c r="G190" s="1768"/>
      <c r="H190" s="227" t="s">
        <v>420</v>
      </c>
      <c r="I190" s="2335">
        <v>2350</v>
      </c>
      <c r="J190" s="2332"/>
      <c r="K190" s="265"/>
      <c r="L190" s="218"/>
      <c r="M190" s="820"/>
      <c r="N190" s="1506">
        <v>1900</v>
      </c>
      <c r="O190" s="1506">
        <v>1850</v>
      </c>
      <c r="P190" s="1507">
        <v>1780</v>
      </c>
      <c r="Q190" s="8"/>
      <c r="R190" s="8"/>
      <c r="S190" s="8"/>
    </row>
    <row r="191" spans="2:19" s="712" customFormat="1" ht="23.25" customHeight="1">
      <c r="B191" s="1830" t="s">
        <v>1031</v>
      </c>
      <c r="C191" s="1831"/>
      <c r="D191" s="1831"/>
      <c r="E191" s="1831"/>
      <c r="F191" s="1758" t="s">
        <v>1219</v>
      </c>
      <c r="G191" s="1769"/>
      <c r="H191" s="822" t="s">
        <v>420</v>
      </c>
      <c r="I191" s="2367">
        <v>2300</v>
      </c>
      <c r="J191" s="2321"/>
      <c r="K191" s="2319"/>
      <c r="L191" s="714"/>
      <c r="M191" s="1508"/>
      <c r="N191" s="431"/>
      <c r="O191" s="431"/>
      <c r="P191" s="431"/>
      <c r="Q191" s="431"/>
      <c r="R191" s="431"/>
      <c r="S191" s="431"/>
    </row>
    <row r="192" spans="2:19" s="704" customFormat="1" ht="27.75" customHeight="1">
      <c r="B192" s="1755" t="s">
        <v>1218</v>
      </c>
      <c r="C192" s="1756"/>
      <c r="D192" s="1756"/>
      <c r="E192" s="1757"/>
      <c r="F192" s="1758" t="s">
        <v>1219</v>
      </c>
      <c r="G192" s="1769"/>
      <c r="H192" s="227" t="s">
        <v>420</v>
      </c>
      <c r="I192" s="2335">
        <v>2405</v>
      </c>
      <c r="J192" s="2332"/>
      <c r="K192" s="265"/>
      <c r="L192" s="218"/>
      <c r="M192" s="1509"/>
      <c r="N192" s="1506">
        <v>2050</v>
      </c>
      <c r="O192" s="1506">
        <v>1970</v>
      </c>
      <c r="P192" s="1507">
        <v>1900</v>
      </c>
      <c r="Q192" s="8"/>
      <c r="R192" s="8"/>
      <c r="S192" s="8"/>
    </row>
    <row r="193" spans="2:19" s="712" customFormat="1" ht="20.25" customHeight="1">
      <c r="B193" s="1843" t="s">
        <v>810</v>
      </c>
      <c r="C193" s="1844"/>
      <c r="D193" s="1844"/>
      <c r="E193" s="1845"/>
      <c r="F193" s="1860" t="s">
        <v>438</v>
      </c>
      <c r="G193" s="1860"/>
      <c r="H193" s="822" t="s">
        <v>420</v>
      </c>
      <c r="I193" s="2345">
        <v>3841.5</v>
      </c>
      <c r="J193" s="2321"/>
      <c r="K193" s="2319"/>
      <c r="L193" s="714"/>
      <c r="M193" s="1508"/>
      <c r="N193" s="431"/>
      <c r="O193" s="431"/>
      <c r="P193" s="431"/>
      <c r="Q193" s="431"/>
      <c r="R193" s="431"/>
      <c r="S193" s="431"/>
    </row>
    <row r="194" spans="2:19" s="704" customFormat="1" ht="15" customHeight="1">
      <c r="B194" s="1755" t="s">
        <v>1220</v>
      </c>
      <c r="C194" s="1756"/>
      <c r="D194" s="1756"/>
      <c r="E194" s="1757"/>
      <c r="F194" s="1758" t="s">
        <v>438</v>
      </c>
      <c r="G194" s="1759"/>
      <c r="H194" s="227" t="s">
        <v>420</v>
      </c>
      <c r="I194" s="2316">
        <v>3977</v>
      </c>
      <c r="J194" s="2332"/>
      <c r="K194" s="265"/>
      <c r="L194" s="218"/>
      <c r="M194" s="820"/>
      <c r="N194" s="1506">
        <v>3220</v>
      </c>
      <c r="O194" s="1506">
        <v>3100</v>
      </c>
      <c r="P194" s="1507">
        <v>3000</v>
      </c>
      <c r="Q194" s="8"/>
      <c r="R194" s="8"/>
      <c r="S194" s="8"/>
    </row>
    <row r="195" spans="2:19" s="712" customFormat="1" ht="20.25" customHeight="1">
      <c r="B195" s="1830" t="s">
        <v>1026</v>
      </c>
      <c r="C195" s="1831"/>
      <c r="D195" s="1831"/>
      <c r="E195" s="1831"/>
      <c r="F195" s="1758" t="s">
        <v>1222</v>
      </c>
      <c r="G195" s="1759"/>
      <c r="H195" s="822" t="s">
        <v>420</v>
      </c>
      <c r="I195" s="2345">
        <v>3750</v>
      </c>
      <c r="J195" s="2321"/>
      <c r="K195" s="2319"/>
      <c r="L195" s="714"/>
      <c r="M195" s="1508"/>
      <c r="N195" s="431"/>
      <c r="O195" s="431"/>
      <c r="P195" s="431"/>
      <c r="Q195" s="431"/>
      <c r="R195" s="431"/>
      <c r="S195" s="431"/>
    </row>
    <row r="196" spans="2:19" s="704" customFormat="1" ht="33.75" customHeight="1">
      <c r="B196" s="1755" t="s">
        <v>1221</v>
      </c>
      <c r="C196" s="1756"/>
      <c r="D196" s="1756"/>
      <c r="E196" s="1757"/>
      <c r="F196" s="1758" t="s">
        <v>1222</v>
      </c>
      <c r="G196" s="1759"/>
      <c r="H196" s="227" t="s">
        <v>420</v>
      </c>
      <c r="I196" s="2316">
        <v>3885</v>
      </c>
      <c r="J196" s="2332"/>
      <c r="K196" s="265"/>
      <c r="L196" s="218"/>
      <c r="M196" s="1510"/>
      <c r="N196" s="1506">
        <v>3350</v>
      </c>
      <c r="O196" s="1506">
        <v>3225</v>
      </c>
      <c r="P196" s="1507">
        <v>3100</v>
      </c>
      <c r="Q196" s="8"/>
      <c r="R196" s="8"/>
      <c r="S196" s="8"/>
    </row>
    <row r="197" spans="2:19" s="704" customFormat="1" ht="20.25" customHeight="1">
      <c r="B197" s="1848" t="s">
        <v>1027</v>
      </c>
      <c r="C197" s="1849"/>
      <c r="D197" s="1849"/>
      <c r="E197" s="1849"/>
      <c r="F197" s="1770" t="s">
        <v>1032</v>
      </c>
      <c r="G197" s="1770"/>
      <c r="H197" s="227" t="s">
        <v>420</v>
      </c>
      <c r="I197" s="2316">
        <v>8704.365</v>
      </c>
      <c r="J197" s="2332"/>
      <c r="K197" s="265"/>
      <c r="L197" s="214"/>
      <c r="M197" s="193"/>
      <c r="N197" s="8"/>
      <c r="O197" s="8"/>
      <c r="P197" s="8"/>
      <c r="Q197" s="8"/>
      <c r="R197" s="8"/>
      <c r="S197" s="8"/>
    </row>
    <row r="198" spans="2:19" s="704" customFormat="1" ht="20.25" customHeight="1">
      <c r="B198" s="1848" t="s">
        <v>1028</v>
      </c>
      <c r="C198" s="1849"/>
      <c r="D198" s="1849"/>
      <c r="E198" s="1849"/>
      <c r="F198" s="1813" t="s">
        <v>1033</v>
      </c>
      <c r="G198" s="1814"/>
      <c r="H198" s="227" t="s">
        <v>420</v>
      </c>
      <c r="I198" s="2316">
        <v>1043.9043000000001</v>
      </c>
      <c r="J198" s="2332"/>
      <c r="K198" s="265"/>
      <c r="L198" s="214"/>
      <c r="M198" s="193"/>
      <c r="N198" s="8"/>
      <c r="O198" s="8"/>
      <c r="P198" s="8"/>
      <c r="Q198" s="8"/>
      <c r="R198" s="8"/>
      <c r="S198" s="8"/>
    </row>
    <row r="199" spans="2:19" s="704" customFormat="1" ht="20.25" customHeight="1">
      <c r="B199" s="1848" t="s">
        <v>1029</v>
      </c>
      <c r="C199" s="1849"/>
      <c r="D199" s="1849"/>
      <c r="E199" s="1849"/>
      <c r="F199" s="1770" t="s">
        <v>1034</v>
      </c>
      <c r="G199" s="1770"/>
      <c r="H199" s="227" t="s">
        <v>420</v>
      </c>
      <c r="I199" s="2316">
        <v>9451.53</v>
      </c>
      <c r="J199" s="2332"/>
      <c r="K199" s="265"/>
      <c r="L199" s="214"/>
      <c r="M199" s="193"/>
      <c r="N199" s="8"/>
      <c r="O199" s="8"/>
      <c r="P199" s="8"/>
      <c r="Q199" s="8"/>
      <c r="R199" s="8"/>
      <c r="S199" s="8"/>
    </row>
    <row r="200" spans="2:19" s="704" customFormat="1" ht="20.25" customHeight="1">
      <c r="B200" s="1848" t="s">
        <v>1030</v>
      </c>
      <c r="C200" s="1849"/>
      <c r="D200" s="1849"/>
      <c r="E200" s="1849"/>
      <c r="F200" s="1813" t="s">
        <v>1033</v>
      </c>
      <c r="G200" s="1814"/>
      <c r="H200" s="227" t="s">
        <v>420</v>
      </c>
      <c r="I200" s="2316">
        <v>1043.9043000000001</v>
      </c>
      <c r="J200" s="2332"/>
      <c r="K200" s="265"/>
      <c r="L200" s="214"/>
      <c r="M200" s="193"/>
      <c r="N200" s="8"/>
      <c r="O200" s="8"/>
      <c r="P200" s="8"/>
      <c r="Q200" s="8"/>
      <c r="R200" s="8"/>
      <c r="S200" s="8"/>
    </row>
    <row r="201" spans="1:19" s="709" customFormat="1" ht="14.25" customHeight="1">
      <c r="A201" s="704"/>
      <c r="B201" s="1945" t="s">
        <v>924</v>
      </c>
      <c r="C201" s="1946"/>
      <c r="D201" s="1946"/>
      <c r="E201" s="1947"/>
      <c r="F201" s="1948" t="s">
        <v>651</v>
      </c>
      <c r="G201" s="1949"/>
      <c r="H201" s="819" t="s">
        <v>420</v>
      </c>
      <c r="I201" s="2368">
        <v>867</v>
      </c>
      <c r="J201" s="2375"/>
      <c r="K201" s="217"/>
      <c r="L201" s="817"/>
      <c r="M201" s="1494"/>
      <c r="N201" s="69"/>
      <c r="O201" s="69"/>
      <c r="P201" s="69"/>
      <c r="Q201" s="69"/>
      <c r="R201" s="69"/>
      <c r="S201" s="69"/>
    </row>
    <row r="202" spans="2:19" s="704" customFormat="1" ht="15.75" customHeight="1" thickBot="1">
      <c r="B202" s="1852" t="s">
        <v>1068</v>
      </c>
      <c r="C202" s="1853"/>
      <c r="D202" s="1853"/>
      <c r="E202" s="1854"/>
      <c r="F202" s="1907" t="s">
        <v>439</v>
      </c>
      <c r="G202" s="1907"/>
      <c r="H202" s="230" t="s">
        <v>420</v>
      </c>
      <c r="I202" s="2317">
        <f>N202*1.05+2.8*7.2</f>
        <v>1595.16</v>
      </c>
      <c r="J202" s="2332"/>
      <c r="K202" s="265"/>
      <c r="L202" s="217"/>
      <c r="M202" s="193"/>
      <c r="N202" s="1499">
        <v>1500</v>
      </c>
      <c r="O202" s="1499">
        <v>1450</v>
      </c>
      <c r="P202" s="1511">
        <v>1400</v>
      </c>
      <c r="Q202" s="8"/>
      <c r="R202" s="8"/>
      <c r="S202" s="8"/>
    </row>
    <row r="203" spans="2:13" ht="15.75" customHeight="1" thickBot="1">
      <c r="B203" s="201"/>
      <c r="C203" s="201"/>
      <c r="D203" s="201"/>
      <c r="E203" s="201"/>
      <c r="F203" s="192"/>
      <c r="G203" s="192"/>
      <c r="H203" s="229"/>
      <c r="I203" s="229"/>
      <c r="J203" s="2348"/>
      <c r="K203" s="216"/>
      <c r="M203" s="194"/>
    </row>
    <row r="204" spans="2:19" s="712" customFormat="1" ht="24" customHeight="1">
      <c r="B204" s="1941"/>
      <c r="C204" s="1942"/>
      <c r="D204" s="1942"/>
      <c r="E204" s="1943"/>
      <c r="F204" s="1920"/>
      <c r="G204" s="1921"/>
      <c r="H204" s="713"/>
      <c r="I204" s="821" t="s">
        <v>1239</v>
      </c>
      <c r="J204" s="2320"/>
      <c r="K204" s="2318"/>
      <c r="L204" s="714"/>
      <c r="M204" s="1512"/>
      <c r="N204" s="431"/>
      <c r="O204" s="431"/>
      <c r="P204" s="431"/>
      <c r="Q204" s="431"/>
      <c r="R204" s="431"/>
      <c r="S204" s="431"/>
    </row>
    <row r="205" spans="2:19" s="712" customFormat="1" ht="15" customHeight="1">
      <c r="B205" s="1857" t="s">
        <v>941</v>
      </c>
      <c r="C205" s="1858"/>
      <c r="D205" s="1858"/>
      <c r="E205" s="1859"/>
      <c r="F205" s="1860" t="s">
        <v>455</v>
      </c>
      <c r="G205" s="1860"/>
      <c r="H205" s="822" t="s">
        <v>420</v>
      </c>
      <c r="I205" s="2367">
        <f aca="true" t="shared" si="2" ref="I205:K207">M205*1.03</f>
        <v>764.775</v>
      </c>
      <c r="J205" s="2321"/>
      <c r="K205" s="2319"/>
      <c r="L205" s="714"/>
      <c r="M205" s="775">
        <v>742.5</v>
      </c>
      <c r="N205" s="775">
        <v>700</v>
      </c>
      <c r="O205" s="776">
        <v>660</v>
      </c>
      <c r="P205" s="431"/>
      <c r="Q205" s="431"/>
      <c r="R205" s="431"/>
      <c r="S205" s="431"/>
    </row>
    <row r="206" spans="2:19" s="712" customFormat="1" ht="16.5" customHeight="1">
      <c r="B206" s="1857" t="s">
        <v>942</v>
      </c>
      <c r="C206" s="1858"/>
      <c r="D206" s="1858"/>
      <c r="E206" s="1859"/>
      <c r="F206" s="1860" t="s">
        <v>456</v>
      </c>
      <c r="G206" s="1860"/>
      <c r="H206" s="822" t="s">
        <v>420</v>
      </c>
      <c r="I206" s="2367">
        <f t="shared" si="2"/>
        <v>1042.8750000000002</v>
      </c>
      <c r="J206" s="2321"/>
      <c r="K206" s="2319"/>
      <c r="L206" s="823"/>
      <c r="M206" s="775">
        <v>1012.5000000000001</v>
      </c>
      <c r="N206" s="775">
        <v>950</v>
      </c>
      <c r="O206" s="776">
        <v>900</v>
      </c>
      <c r="P206" s="431"/>
      <c r="Q206" s="431"/>
      <c r="R206" s="431"/>
      <c r="S206" s="431"/>
    </row>
    <row r="207" spans="2:19" s="712" customFormat="1" ht="15" customHeight="1">
      <c r="B207" s="824" t="s">
        <v>943</v>
      </c>
      <c r="C207" s="818"/>
      <c r="D207" s="818"/>
      <c r="E207" s="818"/>
      <c r="F207" s="1860" t="s">
        <v>925</v>
      </c>
      <c r="G207" s="1860"/>
      <c r="H207" s="822" t="s">
        <v>420</v>
      </c>
      <c r="I207" s="2345">
        <f t="shared" si="2"/>
        <v>721</v>
      </c>
      <c r="J207" s="2321"/>
      <c r="K207" s="2319"/>
      <c r="L207" s="714"/>
      <c r="M207" s="775">
        <v>700</v>
      </c>
      <c r="N207" s="775">
        <v>650</v>
      </c>
      <c r="O207" s="776">
        <v>600</v>
      </c>
      <c r="P207" s="431"/>
      <c r="Q207" s="431"/>
      <c r="R207" s="431"/>
      <c r="S207" s="431"/>
    </row>
    <row r="208" spans="2:19" s="712" customFormat="1" ht="19.5" customHeight="1">
      <c r="B208" s="1937" t="s">
        <v>944</v>
      </c>
      <c r="C208" s="1938"/>
      <c r="D208" s="1938"/>
      <c r="E208" s="1939"/>
      <c r="F208" s="1940" t="s">
        <v>470</v>
      </c>
      <c r="G208" s="1940"/>
      <c r="H208" s="827" t="s">
        <v>420</v>
      </c>
      <c r="I208" s="2321">
        <f aca="true" t="shared" si="3" ref="I208:K210">M208*1.03</f>
        <v>273.98</v>
      </c>
      <c r="J208" s="2321"/>
      <c r="K208" s="2319"/>
      <c r="L208" s="714"/>
      <c r="M208" s="777">
        <v>266</v>
      </c>
      <c r="N208" s="777">
        <v>256</v>
      </c>
      <c r="O208" s="778">
        <v>246</v>
      </c>
      <c r="P208" s="431"/>
      <c r="Q208" s="431"/>
      <c r="R208" s="431"/>
      <c r="S208" s="431"/>
    </row>
    <row r="209" spans="2:19" s="712" customFormat="1" ht="15" customHeight="1">
      <c r="B209" s="1843" t="s">
        <v>945</v>
      </c>
      <c r="C209" s="1844"/>
      <c r="D209" s="1844"/>
      <c r="E209" s="1845"/>
      <c r="F209" s="1860" t="s">
        <v>470</v>
      </c>
      <c r="G209" s="1860"/>
      <c r="H209" s="822" t="s">
        <v>420</v>
      </c>
      <c r="I209" s="2367">
        <f t="shared" si="3"/>
        <v>222.48000000000002</v>
      </c>
      <c r="J209" s="2321"/>
      <c r="K209" s="2319"/>
      <c r="L209" s="714"/>
      <c r="M209" s="777">
        <v>216</v>
      </c>
      <c r="N209" s="777">
        <v>208</v>
      </c>
      <c r="O209" s="778">
        <v>200</v>
      </c>
      <c r="P209" s="431"/>
      <c r="Q209" s="431"/>
      <c r="R209" s="431"/>
      <c r="S209" s="431"/>
    </row>
    <row r="210" spans="2:19" s="712" customFormat="1" ht="15.75" customHeight="1">
      <c r="B210" s="1955" t="s">
        <v>946</v>
      </c>
      <c r="C210" s="1956"/>
      <c r="D210" s="1956"/>
      <c r="E210" s="1957"/>
      <c r="F210" s="1860" t="s">
        <v>926</v>
      </c>
      <c r="G210" s="1860"/>
      <c r="H210" s="822" t="s">
        <v>420</v>
      </c>
      <c r="I210" s="2367">
        <f t="shared" si="3"/>
        <v>257.5</v>
      </c>
      <c r="J210" s="2321"/>
      <c r="K210" s="2319"/>
      <c r="L210" s="714"/>
      <c r="M210" s="777">
        <v>250</v>
      </c>
      <c r="N210" s="777">
        <v>230</v>
      </c>
      <c r="O210" s="778">
        <v>200</v>
      </c>
      <c r="P210" s="431"/>
      <c r="Q210" s="431"/>
      <c r="R210" s="431"/>
      <c r="S210" s="431"/>
    </row>
    <row r="211" spans="2:15" s="431" customFormat="1" ht="15.75" thickBot="1">
      <c r="B211" s="1763" t="s">
        <v>579</v>
      </c>
      <c r="C211" s="1764"/>
      <c r="D211" s="1764"/>
      <c r="E211" s="1765"/>
      <c r="F211" s="1936"/>
      <c r="G211" s="1936"/>
      <c r="H211" s="828" t="s">
        <v>420</v>
      </c>
      <c r="I211" s="2346">
        <v>101.367</v>
      </c>
      <c r="J211" s="2321"/>
      <c r="K211" s="2319"/>
      <c r="L211" s="714"/>
      <c r="M211" s="779">
        <v>95.58</v>
      </c>
      <c r="N211" s="779">
        <v>94</v>
      </c>
      <c r="O211" s="780">
        <v>92.04</v>
      </c>
    </row>
    <row r="212" spans="1:11" ht="13.5" thickBot="1">
      <c r="A212" s="69"/>
      <c r="B212" s="1914"/>
      <c r="C212" s="1915"/>
      <c r="D212" s="1915"/>
      <c r="E212" s="1915"/>
      <c r="F212" s="1915"/>
      <c r="G212" s="1915"/>
      <c r="H212" s="1915"/>
      <c r="I212" s="2369" t="s">
        <v>1239</v>
      </c>
      <c r="J212" s="2320"/>
      <c r="K212" s="2318"/>
    </row>
    <row r="213" spans="2:19" s="709" customFormat="1" ht="14.25" customHeight="1">
      <c r="B213" s="1836" t="s">
        <v>1173</v>
      </c>
      <c r="C213" s="1837"/>
      <c r="D213" s="1837"/>
      <c r="E213" s="1838"/>
      <c r="F213" s="1839" t="s">
        <v>928</v>
      </c>
      <c r="G213" s="1839"/>
      <c r="H213" s="228" t="s">
        <v>420</v>
      </c>
      <c r="I213" s="2335">
        <f>N213*1.05+0.007*1850</f>
        <v>264.95</v>
      </c>
      <c r="J213" s="2332"/>
      <c r="K213" s="265"/>
      <c r="L213" s="817"/>
      <c r="M213" s="1494"/>
      <c r="N213" s="1513">
        <v>240</v>
      </c>
      <c r="O213" s="1513">
        <v>235</v>
      </c>
      <c r="P213" s="1514">
        <v>220</v>
      </c>
      <c r="Q213" s="69"/>
      <c r="R213" s="69"/>
      <c r="S213" s="69"/>
    </row>
    <row r="214" spans="2:19" s="704" customFormat="1" ht="15" customHeight="1">
      <c r="B214" s="1851" t="s">
        <v>927</v>
      </c>
      <c r="C214" s="1776"/>
      <c r="D214" s="1776"/>
      <c r="E214" s="1777"/>
      <c r="F214" s="1825" t="s">
        <v>929</v>
      </c>
      <c r="G214" s="1826"/>
      <c r="H214" s="227" t="s">
        <v>420</v>
      </c>
      <c r="I214" s="2316">
        <v>274.85</v>
      </c>
      <c r="J214" s="2376"/>
      <c r="K214" s="2372"/>
      <c r="L214" s="214"/>
      <c r="M214" s="181"/>
      <c r="N214" s="8"/>
      <c r="O214" s="8"/>
      <c r="P214" s="8"/>
      <c r="Q214" s="8"/>
      <c r="R214" s="8"/>
      <c r="S214" s="8"/>
    </row>
    <row r="215" spans="2:19" s="704" customFormat="1" ht="15" customHeight="1" thickBot="1">
      <c r="B215" s="1852" t="s">
        <v>811</v>
      </c>
      <c r="C215" s="1853"/>
      <c r="D215" s="1853"/>
      <c r="E215" s="1854"/>
      <c r="F215" s="1850" t="s">
        <v>930</v>
      </c>
      <c r="G215" s="1850"/>
      <c r="H215" s="831" t="s">
        <v>420</v>
      </c>
      <c r="I215" s="2334">
        <v>243.202</v>
      </c>
      <c r="J215" s="2376"/>
      <c r="K215" s="2372"/>
      <c r="L215" s="214"/>
      <c r="M215" s="181"/>
      <c r="N215" s="8"/>
      <c r="O215" s="8"/>
      <c r="P215" s="8"/>
      <c r="Q215" s="8"/>
      <c r="R215" s="8"/>
      <c r="S215" s="8"/>
    </row>
    <row r="216" spans="2:19" s="1458" customFormat="1" ht="25.5" customHeight="1">
      <c r="B216" s="1760" t="s">
        <v>1223</v>
      </c>
      <c r="C216" s="1761"/>
      <c r="D216" s="1761"/>
      <c r="E216" s="1762"/>
      <c r="F216" s="1750"/>
      <c r="G216" s="1750"/>
      <c r="H216" s="1466"/>
      <c r="I216" s="2333">
        <f aca="true" t="shared" si="4" ref="I216:K217">N216*1.05+0.003*1850</f>
        <v>1370.55</v>
      </c>
      <c r="J216" s="2332"/>
      <c r="K216" s="265"/>
      <c r="L216" s="1459"/>
      <c r="M216" s="1063"/>
      <c r="N216" s="1515">
        <v>1300</v>
      </c>
      <c r="O216" s="1516">
        <v>1250</v>
      </c>
      <c r="P216" s="1517">
        <v>1200</v>
      </c>
      <c r="Q216" s="1459"/>
      <c r="R216" s="1459"/>
      <c r="S216" s="1459"/>
    </row>
    <row r="217" spans="2:19" s="1458" customFormat="1" ht="25.5" customHeight="1">
      <c r="B217" s="1747" t="s">
        <v>1224</v>
      </c>
      <c r="C217" s="1748"/>
      <c r="D217" s="1748"/>
      <c r="E217" s="1749"/>
      <c r="F217" s="1750"/>
      <c r="G217" s="1750"/>
      <c r="H217" s="1465"/>
      <c r="I217" s="2332">
        <f t="shared" si="4"/>
        <v>1717.05</v>
      </c>
      <c r="J217" s="2332"/>
      <c r="K217" s="265"/>
      <c r="L217" s="1459"/>
      <c r="M217" s="1063"/>
      <c r="N217" s="1518">
        <v>1630</v>
      </c>
      <c r="O217" s="1518">
        <v>1575</v>
      </c>
      <c r="P217" s="1519">
        <v>1500</v>
      </c>
      <c r="Q217" s="1459"/>
      <c r="R217" s="1459"/>
      <c r="S217" s="1459"/>
    </row>
    <row r="218" spans="2:13" s="1459" customFormat="1" ht="25.5" customHeight="1" thickBot="1">
      <c r="B218" s="1751" t="s">
        <v>1225</v>
      </c>
      <c r="C218" s="1752"/>
      <c r="D218" s="1752"/>
      <c r="E218" s="1753"/>
      <c r="F218" s="1754"/>
      <c r="G218" s="1754"/>
      <c r="H218" s="1467"/>
      <c r="I218" s="2377" t="s">
        <v>1226</v>
      </c>
      <c r="J218" s="2378"/>
      <c r="K218" s="2379"/>
      <c r="M218" s="1063"/>
    </row>
  </sheetData>
  <sheetProtection/>
  <mergeCells count="363">
    <mergeCell ref="B127:J127"/>
    <mergeCell ref="B151:H151"/>
    <mergeCell ref="B161:I161"/>
    <mergeCell ref="E1:H3"/>
    <mergeCell ref="F16:G16"/>
    <mergeCell ref="B16:E16"/>
    <mergeCell ref="F15:G15"/>
    <mergeCell ref="B15:E15"/>
    <mergeCell ref="B61:L61"/>
    <mergeCell ref="B206:E206"/>
    <mergeCell ref="B63:E63"/>
    <mergeCell ref="F63:G63"/>
    <mergeCell ref="B210:E210"/>
    <mergeCell ref="F210:G210"/>
    <mergeCell ref="F72:G72"/>
    <mergeCell ref="F73:G73"/>
    <mergeCell ref="B186:E186"/>
    <mergeCell ref="F186:G186"/>
    <mergeCell ref="F183:G183"/>
    <mergeCell ref="B201:E201"/>
    <mergeCell ref="F201:G201"/>
    <mergeCell ref="B64:E64"/>
    <mergeCell ref="F64:G64"/>
    <mergeCell ref="B209:E209"/>
    <mergeCell ref="F209:G209"/>
    <mergeCell ref="B65:E65"/>
    <mergeCell ref="F65:G65"/>
    <mergeCell ref="B153:E153"/>
    <mergeCell ref="B211:E211"/>
    <mergeCell ref="F211:G211"/>
    <mergeCell ref="F206:G206"/>
    <mergeCell ref="B208:E208"/>
    <mergeCell ref="F208:G208"/>
    <mergeCell ref="B204:E204"/>
    <mergeCell ref="B181:E181"/>
    <mergeCell ref="B157:E157"/>
    <mergeCell ref="B158:E158"/>
    <mergeCell ref="F158:G158"/>
    <mergeCell ref="B164:E164"/>
    <mergeCell ref="B155:E155"/>
    <mergeCell ref="F153:G153"/>
    <mergeCell ref="F155:G155"/>
    <mergeCell ref="F154:G154"/>
    <mergeCell ref="F120:G120"/>
    <mergeCell ref="B99:D99"/>
    <mergeCell ref="F109:G109"/>
    <mergeCell ref="F116:G116"/>
    <mergeCell ref="B125:G125"/>
    <mergeCell ref="B116:D116"/>
    <mergeCell ref="B113:D113"/>
    <mergeCell ref="F118:G118"/>
    <mergeCell ref="F110:G110"/>
    <mergeCell ref="K4:L4"/>
    <mergeCell ref="F193:G193"/>
    <mergeCell ref="B202:E202"/>
    <mergeCell ref="F202:G202"/>
    <mergeCell ref="B154:E154"/>
    <mergeCell ref="F185:G185"/>
    <mergeCell ref="F179:G179"/>
    <mergeCell ref="B43:E43"/>
    <mergeCell ref="F43:G43"/>
    <mergeCell ref="F159:G159"/>
    <mergeCell ref="B176:E176"/>
    <mergeCell ref="B177:E177"/>
    <mergeCell ref="F176:G176"/>
    <mergeCell ref="F177:G177"/>
    <mergeCell ref="B162:E162"/>
    <mergeCell ref="F162:G162"/>
    <mergeCell ref="B163:E163"/>
    <mergeCell ref="F163:G163"/>
    <mergeCell ref="B212:H212"/>
    <mergeCell ref="F207:G207"/>
    <mergeCell ref="B188:E188"/>
    <mergeCell ref="F188:G188"/>
    <mergeCell ref="B189:E189"/>
    <mergeCell ref="B183:E183"/>
    <mergeCell ref="F204:G204"/>
    <mergeCell ref="B199:E199"/>
    <mergeCell ref="B200:E200"/>
    <mergeCell ref="B191:E191"/>
    <mergeCell ref="B179:E179"/>
    <mergeCell ref="B180:E180"/>
    <mergeCell ref="F178:G178"/>
    <mergeCell ref="B197:E197"/>
    <mergeCell ref="F98:G98"/>
    <mergeCell ref="F106:G106"/>
    <mergeCell ref="F113:G113"/>
    <mergeCell ref="F114:G114"/>
    <mergeCell ref="B120:E120"/>
    <mergeCell ref="F115:G115"/>
    <mergeCell ref="B114:D114"/>
    <mergeCell ref="B115:D115"/>
    <mergeCell ref="B119:D119"/>
    <mergeCell ref="F111:G111"/>
    <mergeCell ref="F112:G112"/>
    <mergeCell ref="F119:G119"/>
    <mergeCell ref="B117:D117"/>
    <mergeCell ref="F117:G117"/>
    <mergeCell ref="B118:D118"/>
    <mergeCell ref="F102:G102"/>
    <mergeCell ref="F104:G104"/>
    <mergeCell ref="F108:G108"/>
    <mergeCell ref="F95:G95"/>
    <mergeCell ref="F99:G99"/>
    <mergeCell ref="F100:G100"/>
    <mergeCell ref="F105:G105"/>
    <mergeCell ref="F103:G103"/>
    <mergeCell ref="F107:G107"/>
    <mergeCell ref="F101:G101"/>
    <mergeCell ref="F96:G96"/>
    <mergeCell ref="F97:G97"/>
    <mergeCell ref="F94:G94"/>
    <mergeCell ref="B101:D101"/>
    <mergeCell ref="B96:D96"/>
    <mergeCell ref="B100:D100"/>
    <mergeCell ref="B94:D94"/>
    <mergeCell ref="B95:D95"/>
    <mergeCell ref="B97:D97"/>
    <mergeCell ref="B98:D98"/>
    <mergeCell ref="B90:D90"/>
    <mergeCell ref="B91:D91"/>
    <mergeCell ref="F90:G90"/>
    <mergeCell ref="F91:G91"/>
    <mergeCell ref="F93:G93"/>
    <mergeCell ref="F92:G92"/>
    <mergeCell ref="B92:D92"/>
    <mergeCell ref="B93:D93"/>
    <mergeCell ref="B85:E85"/>
    <mergeCell ref="F85:G85"/>
    <mergeCell ref="B89:E89"/>
    <mergeCell ref="F89:G89"/>
    <mergeCell ref="B86:E86"/>
    <mergeCell ref="F86:G86"/>
    <mergeCell ref="B82:E82"/>
    <mergeCell ref="F82:G82"/>
    <mergeCell ref="B84:E84"/>
    <mergeCell ref="F84:G84"/>
    <mergeCell ref="B83:E83"/>
    <mergeCell ref="F83:G83"/>
    <mergeCell ref="B79:E79"/>
    <mergeCell ref="F79:G79"/>
    <mergeCell ref="B81:E81"/>
    <mergeCell ref="F81:G81"/>
    <mergeCell ref="B80:E80"/>
    <mergeCell ref="F80:G80"/>
    <mergeCell ref="F76:G76"/>
    <mergeCell ref="B71:E71"/>
    <mergeCell ref="F71:G71"/>
    <mergeCell ref="B75:E75"/>
    <mergeCell ref="F75:G75"/>
    <mergeCell ref="B78:E78"/>
    <mergeCell ref="F78:G78"/>
    <mergeCell ref="B77:E77"/>
    <mergeCell ref="F77:G77"/>
    <mergeCell ref="B76:E76"/>
    <mergeCell ref="F68:G68"/>
    <mergeCell ref="J68:L68"/>
    <mergeCell ref="F69:G69"/>
    <mergeCell ref="B74:E74"/>
    <mergeCell ref="F74:G74"/>
    <mergeCell ref="F70:G70"/>
    <mergeCell ref="B44:E44"/>
    <mergeCell ref="F44:G44"/>
    <mergeCell ref="B46:L46"/>
    <mergeCell ref="B48:E48"/>
    <mergeCell ref="F48:G48"/>
    <mergeCell ref="B49:E49"/>
    <mergeCell ref="F49:G49"/>
    <mergeCell ref="B41:E41"/>
    <mergeCell ref="F41:G41"/>
    <mergeCell ref="B40:E40"/>
    <mergeCell ref="F40:G40"/>
    <mergeCell ref="B42:E42"/>
    <mergeCell ref="F42:G42"/>
    <mergeCell ref="B38:E38"/>
    <mergeCell ref="F38:G38"/>
    <mergeCell ref="B36:E36"/>
    <mergeCell ref="F36:G36"/>
    <mergeCell ref="B39:E39"/>
    <mergeCell ref="F39:G39"/>
    <mergeCell ref="B31:E31"/>
    <mergeCell ref="F31:G31"/>
    <mergeCell ref="B33:L33"/>
    <mergeCell ref="B35:E35"/>
    <mergeCell ref="F35:G35"/>
    <mergeCell ref="B37:E37"/>
    <mergeCell ref="F37:G37"/>
    <mergeCell ref="B25:E25"/>
    <mergeCell ref="F25:G25"/>
    <mergeCell ref="B26:E26"/>
    <mergeCell ref="F26:G26"/>
    <mergeCell ref="B28:L28"/>
    <mergeCell ref="B30:E30"/>
    <mergeCell ref="F30:G30"/>
    <mergeCell ref="B22:E22"/>
    <mergeCell ref="F22:G22"/>
    <mergeCell ref="B23:E23"/>
    <mergeCell ref="F23:G23"/>
    <mergeCell ref="B24:E24"/>
    <mergeCell ref="F24:G24"/>
    <mergeCell ref="B17:L17"/>
    <mergeCell ref="B19:E19"/>
    <mergeCell ref="F19:G19"/>
    <mergeCell ref="B20:E20"/>
    <mergeCell ref="F20:G20"/>
    <mergeCell ref="B21:E21"/>
    <mergeCell ref="F21:G21"/>
    <mergeCell ref="B14:E14"/>
    <mergeCell ref="F14:G14"/>
    <mergeCell ref="F11:G11"/>
    <mergeCell ref="B12:E12"/>
    <mergeCell ref="F12:G12"/>
    <mergeCell ref="B13:E13"/>
    <mergeCell ref="F13:G13"/>
    <mergeCell ref="B10:E10"/>
    <mergeCell ref="F10:G10"/>
    <mergeCell ref="B11:E11"/>
    <mergeCell ref="B6:L6"/>
    <mergeCell ref="B7:L7"/>
    <mergeCell ref="B9:E9"/>
    <mergeCell ref="F9:G9"/>
    <mergeCell ref="J9:L9"/>
    <mergeCell ref="B103:D103"/>
    <mergeCell ref="B104:D104"/>
    <mergeCell ref="B184:E184"/>
    <mergeCell ref="B106:D106"/>
    <mergeCell ref="B110:D110"/>
    <mergeCell ref="C138:D138"/>
    <mergeCell ref="E138:F138"/>
    <mergeCell ref="B156:E156"/>
    <mergeCell ref="F180:G180"/>
    <mergeCell ref="B105:D105"/>
    <mergeCell ref="F215:G215"/>
    <mergeCell ref="B214:E214"/>
    <mergeCell ref="B215:E215"/>
    <mergeCell ref="B159:E159"/>
    <mergeCell ref="F156:G156"/>
    <mergeCell ref="F157:G157"/>
    <mergeCell ref="B205:E205"/>
    <mergeCell ref="B185:E185"/>
    <mergeCell ref="F205:G205"/>
    <mergeCell ref="F181:G181"/>
    <mergeCell ref="B213:E213"/>
    <mergeCell ref="F213:G213"/>
    <mergeCell ref="B107:D107"/>
    <mergeCell ref="B108:D108"/>
    <mergeCell ref="B109:D109"/>
    <mergeCell ref="F189:G189"/>
    <mergeCell ref="B193:E193"/>
    <mergeCell ref="F199:G199"/>
    <mergeCell ref="F184:G184"/>
    <mergeCell ref="B198:E198"/>
    <mergeCell ref="F214:G214"/>
    <mergeCell ref="B152:E152"/>
    <mergeCell ref="F152:G152"/>
    <mergeCell ref="B195:E195"/>
    <mergeCell ref="B182:E182"/>
    <mergeCell ref="F182:G182"/>
    <mergeCell ref="B178:E178"/>
    <mergeCell ref="F200:G200"/>
    <mergeCell ref="F198:G198"/>
    <mergeCell ref="B50:L50"/>
    <mergeCell ref="B52:C52"/>
    <mergeCell ref="B53:C53"/>
    <mergeCell ref="B54:C54"/>
    <mergeCell ref="B55:C55"/>
    <mergeCell ref="B56:C56"/>
    <mergeCell ref="B111:D111"/>
    <mergeCell ref="B112:D112"/>
    <mergeCell ref="B102:D102"/>
    <mergeCell ref="B57:C57"/>
    <mergeCell ref="B58:C58"/>
    <mergeCell ref="B59:C59"/>
    <mergeCell ref="C137:D137"/>
    <mergeCell ref="E137:F137"/>
    <mergeCell ref="G137:H137"/>
    <mergeCell ref="B67:L67"/>
    <mergeCell ref="B68:E68"/>
    <mergeCell ref="C139:D139"/>
    <mergeCell ref="E139:F139"/>
    <mergeCell ref="G139:H139"/>
    <mergeCell ref="C140:D140"/>
    <mergeCell ref="E140:F140"/>
    <mergeCell ref="G140:H140"/>
    <mergeCell ref="E147:F147"/>
    <mergeCell ref="G147:H147"/>
    <mergeCell ref="C144:D144"/>
    <mergeCell ref="E144:F144"/>
    <mergeCell ref="G144:H144"/>
    <mergeCell ref="C141:D141"/>
    <mergeCell ref="E141:F141"/>
    <mergeCell ref="G141:H141"/>
    <mergeCell ref="C142:D142"/>
    <mergeCell ref="E142:F142"/>
    <mergeCell ref="C131:F131"/>
    <mergeCell ref="G131:H131"/>
    <mergeCell ref="C148:D148"/>
    <mergeCell ref="E148:F148"/>
    <mergeCell ref="G148:H148"/>
    <mergeCell ref="C143:D143"/>
    <mergeCell ref="E143:F143"/>
    <mergeCell ref="G143:H143"/>
    <mergeCell ref="G146:H146"/>
    <mergeCell ref="C147:D147"/>
    <mergeCell ref="G132:H132"/>
    <mergeCell ref="C133:F133"/>
    <mergeCell ref="G133:H133"/>
    <mergeCell ref="G134:H134"/>
    <mergeCell ref="G135:H135"/>
    <mergeCell ref="C145:D145"/>
    <mergeCell ref="E145:F145"/>
    <mergeCell ref="G145:H145"/>
    <mergeCell ref="G142:H142"/>
    <mergeCell ref="G138:H138"/>
    <mergeCell ref="C128:F128"/>
    <mergeCell ref="G128:H128"/>
    <mergeCell ref="C129:F129"/>
    <mergeCell ref="G129:H129"/>
    <mergeCell ref="G130:H130"/>
    <mergeCell ref="C149:D149"/>
    <mergeCell ref="E149:F149"/>
    <mergeCell ref="G149:H149"/>
    <mergeCell ref="C146:D146"/>
    <mergeCell ref="E146:F146"/>
    <mergeCell ref="F164:G164"/>
    <mergeCell ref="B165:E165"/>
    <mergeCell ref="F165:G165"/>
    <mergeCell ref="B166:E166"/>
    <mergeCell ref="F166:G166"/>
    <mergeCell ref="B167:E167"/>
    <mergeCell ref="F167:G167"/>
    <mergeCell ref="B168:E168"/>
    <mergeCell ref="F168:G168"/>
    <mergeCell ref="B169:E169"/>
    <mergeCell ref="F169:G169"/>
    <mergeCell ref="B170:E170"/>
    <mergeCell ref="F170:G170"/>
    <mergeCell ref="B171:E171"/>
    <mergeCell ref="F171:G171"/>
    <mergeCell ref="B172:E172"/>
    <mergeCell ref="F172:G172"/>
    <mergeCell ref="B173:E173"/>
    <mergeCell ref="F173:G173"/>
    <mergeCell ref="F216:G216"/>
    <mergeCell ref="B174:E174"/>
    <mergeCell ref="F174:G174"/>
    <mergeCell ref="B190:E190"/>
    <mergeCell ref="F190:G190"/>
    <mergeCell ref="B192:E192"/>
    <mergeCell ref="F192:G192"/>
    <mergeCell ref="F191:G191"/>
    <mergeCell ref="F195:G195"/>
    <mergeCell ref="F197:G197"/>
    <mergeCell ref="B217:E217"/>
    <mergeCell ref="F217:G217"/>
    <mergeCell ref="B218:E218"/>
    <mergeCell ref="F218:G218"/>
    <mergeCell ref="I218:K218"/>
    <mergeCell ref="B194:E194"/>
    <mergeCell ref="F194:G194"/>
    <mergeCell ref="B196:E196"/>
    <mergeCell ref="F196:G196"/>
    <mergeCell ref="B216:E216"/>
  </mergeCells>
  <printOptions/>
  <pageMargins left="0.15748031496062992" right="0.15748031496062992" top="0.3937007874015748" bottom="0.35433070866141736" header="0.15748031496062992" footer="0.15748031496062992"/>
  <pageSetup fitToHeight="4" fitToWidth="1" horizontalDpi="600" verticalDpi="600" orientation="portrait" paperSize="9" scale="71" r:id="rId2"/>
  <headerFooter>
    <oddHeader>&amp;LДействителен с 02.08.2012</oddHeader>
    <oddFooter>&amp;C&amp;F&amp;A&amp;R&amp;D</oddFooter>
  </headerFooter>
  <rowBreaks count="1" manualBreakCount="1">
    <brk id="69" max="13" man="1"/>
  </rowBreaks>
  <ignoredErrors>
    <ignoredError sqref="I82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S247"/>
  <sheetViews>
    <sheetView zoomScale="60" zoomScaleNormal="60" zoomScalePageLayoutView="0" workbookViewId="0" topLeftCell="A1">
      <selection activeCell="C1" sqref="C1:F3"/>
    </sheetView>
  </sheetViews>
  <sheetFormatPr defaultColWidth="9.00390625" defaultRowHeight="12.75"/>
  <cols>
    <col min="1" max="1" width="21.25390625" style="43" customWidth="1"/>
    <col min="2" max="2" width="49.75390625" style="174" customWidth="1"/>
    <col min="3" max="3" width="27.375" style="43" customWidth="1"/>
    <col min="4" max="4" width="23.875" style="43" customWidth="1"/>
    <col min="5" max="5" width="14.125" style="43" customWidth="1"/>
    <col min="6" max="6" width="2.875" style="43" customWidth="1"/>
    <col min="7" max="7" width="15.375" style="43" customWidth="1"/>
    <col min="8" max="8" width="15.75390625" style="43" customWidth="1"/>
    <col min="9" max="9" width="3.25390625" style="43" customWidth="1"/>
    <col min="10" max="10" width="17.00390625" style="43" customWidth="1"/>
    <col min="11" max="11" width="15.25390625" style="43" customWidth="1"/>
    <col min="12" max="12" width="3.375" style="43" customWidth="1"/>
    <col min="13" max="13" width="21.00390625" style="43" customWidth="1"/>
    <col min="14" max="14" width="9.125" style="43" customWidth="1"/>
    <col min="15" max="15" width="14.875" style="43" customWidth="1"/>
    <col min="16" max="16" width="13.75390625" style="0" customWidth="1"/>
    <col min="17" max="17" width="14.25390625" style="0" customWidth="1"/>
  </cols>
  <sheetData>
    <row r="1" spans="1:15" ht="15">
      <c r="A1" s="7"/>
      <c r="B1" s="175"/>
      <c r="C1" s="2380" t="s">
        <v>1241</v>
      </c>
      <c r="D1" s="2380"/>
      <c r="E1" s="2380"/>
      <c r="F1" s="2380"/>
      <c r="G1" s="82"/>
      <c r="H1" s="82"/>
      <c r="I1" s="82"/>
      <c r="J1" s="82"/>
      <c r="K1" s="82"/>
      <c r="L1" s="82"/>
      <c r="M1" s="82"/>
      <c r="N1" s="8"/>
      <c r="O1" s="8"/>
    </row>
    <row r="2" spans="1:15" ht="15">
      <c r="A2" s="7"/>
      <c r="B2" s="176"/>
      <c r="C2" s="2380"/>
      <c r="D2" s="2380"/>
      <c r="E2" s="2380"/>
      <c r="F2" s="2380"/>
      <c r="G2" s="170"/>
      <c r="H2" s="83"/>
      <c r="I2" s="83"/>
      <c r="J2" s="83"/>
      <c r="K2" s="83"/>
      <c r="L2" s="83"/>
      <c r="M2" s="83"/>
      <c r="N2" s="8"/>
      <c r="O2" s="8"/>
    </row>
    <row r="3" spans="1:15" ht="18.75" customHeight="1">
      <c r="A3" s="7"/>
      <c r="B3" s="175"/>
      <c r="C3" s="2380"/>
      <c r="D3" s="2380"/>
      <c r="E3" s="2380"/>
      <c r="F3" s="2380"/>
      <c r="G3" s="8"/>
      <c r="H3" s="8"/>
      <c r="I3" s="8"/>
      <c r="J3" s="8"/>
      <c r="K3" s="8"/>
      <c r="L3" s="8"/>
      <c r="M3" s="8"/>
      <c r="N3" s="8"/>
      <c r="O3" s="8"/>
    </row>
    <row r="4" spans="1:16" ht="33" customHeight="1">
      <c r="A4" s="1985" t="s">
        <v>590</v>
      </c>
      <c r="B4" s="1985"/>
      <c r="C4" s="1985"/>
      <c r="D4" s="1985"/>
      <c r="E4" s="1985"/>
      <c r="F4" s="1985"/>
      <c r="G4" s="1985"/>
      <c r="H4" s="2382"/>
      <c r="I4" s="2382"/>
      <c r="J4" s="2382"/>
      <c r="K4" s="2382"/>
      <c r="L4" s="2382"/>
      <c r="M4" s="2382"/>
      <c r="N4" s="2382"/>
      <c r="O4" s="2382"/>
      <c r="P4" s="2382"/>
    </row>
    <row r="5" spans="1:13" ht="20.25">
      <c r="A5" s="1977" t="s">
        <v>326</v>
      </c>
      <c r="B5" s="1977"/>
      <c r="C5" s="1977"/>
      <c r="D5" s="1977"/>
      <c r="E5" s="1977"/>
      <c r="F5" s="1977"/>
      <c r="G5" s="1977"/>
      <c r="H5" s="2383"/>
      <c r="I5" s="2383"/>
      <c r="J5" s="2383"/>
      <c r="K5" s="2383"/>
      <c r="L5" s="2383"/>
      <c r="M5" s="2383"/>
    </row>
    <row r="6" spans="1:15" ht="16.5" thickBot="1">
      <c r="A6" s="1978" t="s">
        <v>327</v>
      </c>
      <c r="B6" s="1978"/>
      <c r="C6" s="1978"/>
      <c r="D6" s="1978"/>
      <c r="E6" s="1978"/>
      <c r="F6" s="1978"/>
      <c r="G6" s="1978"/>
      <c r="H6" s="2386"/>
      <c r="I6" s="2386"/>
      <c r="J6" s="2386"/>
      <c r="K6" s="2386"/>
      <c r="L6" s="2386"/>
      <c r="M6" s="2386"/>
      <c r="N6" s="1"/>
      <c r="O6" s="1"/>
    </row>
    <row r="7" spans="1:13" s="38" customFormat="1" ht="15" customHeight="1">
      <c r="A7" s="1979" t="s">
        <v>0</v>
      </c>
      <c r="B7" s="1979" t="s">
        <v>1</v>
      </c>
      <c r="C7" s="1979" t="s">
        <v>19</v>
      </c>
      <c r="D7" s="1981" t="s">
        <v>24</v>
      </c>
      <c r="E7" s="1984" t="s">
        <v>1239</v>
      </c>
      <c r="F7" s="2396"/>
      <c r="G7" s="2397"/>
      <c r="H7" s="2393"/>
      <c r="I7" s="2388"/>
      <c r="J7" s="2388"/>
      <c r="K7" s="2387"/>
      <c r="L7" s="2388"/>
      <c r="M7" s="2388"/>
    </row>
    <row r="8" spans="1:13" s="38" customFormat="1" ht="15.75" customHeight="1">
      <c r="A8" s="1660"/>
      <c r="B8" s="1660"/>
      <c r="C8" s="1660"/>
      <c r="D8" s="1982"/>
      <c r="E8" s="1973"/>
      <c r="F8" s="1974"/>
      <c r="G8" s="2398"/>
      <c r="H8" s="2393"/>
      <c r="I8" s="2387"/>
      <c r="J8" s="2387"/>
      <c r="K8" s="2387"/>
      <c r="L8" s="2387"/>
      <c r="M8" s="2387"/>
    </row>
    <row r="9" spans="1:13" s="38" customFormat="1" ht="19.5" customHeight="1" thickBot="1">
      <c r="A9" s="1980"/>
      <c r="B9" s="1980"/>
      <c r="C9" s="1980"/>
      <c r="D9" s="1983"/>
      <c r="E9" s="178" t="s">
        <v>2</v>
      </c>
      <c r="F9" s="179"/>
      <c r="G9" s="268" t="s">
        <v>4</v>
      </c>
      <c r="H9" s="2394"/>
      <c r="I9" s="2390"/>
      <c r="J9" s="2389"/>
      <c r="K9" s="2389"/>
      <c r="L9" s="2390"/>
      <c r="M9" s="2389"/>
    </row>
    <row r="10" spans="1:15" s="127" customFormat="1" ht="39.75" customHeight="1">
      <c r="A10" s="586" t="s">
        <v>673</v>
      </c>
      <c r="B10" s="587" t="s">
        <v>328</v>
      </c>
      <c r="C10" s="588" t="s">
        <v>707</v>
      </c>
      <c r="D10" s="589" t="s">
        <v>674</v>
      </c>
      <c r="E10" s="591">
        <f>11580*1.1*1.076</f>
        <v>13706.088000000003</v>
      </c>
      <c r="F10" s="590" t="s">
        <v>3</v>
      </c>
      <c r="G10" s="2179">
        <f>E10/200</f>
        <v>68.53044000000001</v>
      </c>
      <c r="H10" s="2395"/>
      <c r="I10" s="378"/>
      <c r="J10" s="2391"/>
      <c r="K10" s="379"/>
      <c r="L10" s="378"/>
      <c r="M10" s="2391"/>
      <c r="N10" s="592"/>
      <c r="O10" s="592"/>
    </row>
    <row r="11" spans="1:15" s="127" customFormat="1" ht="39.75" customHeight="1">
      <c r="A11" s="856" t="s">
        <v>329</v>
      </c>
      <c r="B11" s="857" t="s">
        <v>330</v>
      </c>
      <c r="C11" s="858" t="s">
        <v>227</v>
      </c>
      <c r="D11" s="859" t="s">
        <v>331</v>
      </c>
      <c r="E11" s="381">
        <f>8835*1.1*1.076</f>
        <v>10457.106</v>
      </c>
      <c r="F11" s="380" t="s">
        <v>3</v>
      </c>
      <c r="G11" s="2384">
        <f>E11/150</f>
        <v>69.71404</v>
      </c>
      <c r="H11" s="2395"/>
      <c r="I11" s="378"/>
      <c r="J11" s="2392"/>
      <c r="K11" s="379"/>
      <c r="L11" s="378"/>
      <c r="M11" s="2392"/>
      <c r="N11" s="375"/>
      <c r="O11" s="376"/>
    </row>
    <row r="12" spans="1:15" s="855" customFormat="1" ht="39.75" customHeight="1" thickBot="1">
      <c r="A12" s="954" t="s">
        <v>1035</v>
      </c>
      <c r="B12" s="955" t="s">
        <v>330</v>
      </c>
      <c r="C12" s="956" t="s">
        <v>227</v>
      </c>
      <c r="D12" s="957" t="s">
        <v>674</v>
      </c>
      <c r="E12" s="384">
        <f>G11*200</f>
        <v>13942.807999999999</v>
      </c>
      <c r="F12" s="383" t="s">
        <v>3</v>
      </c>
      <c r="G12" s="2385">
        <f>E12/200</f>
        <v>69.71404</v>
      </c>
      <c r="H12" s="2395"/>
      <c r="I12" s="378"/>
      <c r="J12" s="2392"/>
      <c r="K12" s="379"/>
      <c r="L12" s="378"/>
      <c r="M12" s="2392"/>
      <c r="N12" s="375"/>
      <c r="O12" s="376"/>
    </row>
    <row r="13" spans="1:14" s="127" customFormat="1" ht="39.75" customHeight="1">
      <c r="A13" s="385"/>
      <c r="B13" s="386"/>
      <c r="C13" s="377"/>
      <c r="D13" s="387"/>
      <c r="E13" s="377"/>
      <c r="F13" s="378"/>
      <c r="G13" s="388"/>
      <c r="H13" s="377"/>
      <c r="I13" s="378"/>
      <c r="J13" s="388"/>
      <c r="K13" s="379"/>
      <c r="L13" s="378"/>
      <c r="M13" s="388"/>
      <c r="N13" s="375"/>
    </row>
    <row r="14" spans="1:13" s="290" customFormat="1" ht="20.25" customHeight="1" thickBot="1">
      <c r="A14" s="1986" t="s">
        <v>568</v>
      </c>
      <c r="B14" s="1986"/>
      <c r="C14" s="1986"/>
      <c r="D14" s="1986"/>
      <c r="E14" s="1986"/>
      <c r="F14" s="1986"/>
      <c r="G14" s="1986"/>
      <c r="H14" s="2403"/>
      <c r="I14" s="2403"/>
      <c r="J14" s="2403"/>
      <c r="K14" s="2403"/>
      <c r="L14" s="2403"/>
      <c r="M14" s="2403"/>
    </row>
    <row r="15" spans="1:13" s="290" customFormat="1" ht="20.25" customHeight="1">
      <c r="A15" s="1987" t="s">
        <v>0</v>
      </c>
      <c r="B15" s="1987" t="s">
        <v>1</v>
      </c>
      <c r="C15" s="1987" t="s">
        <v>19</v>
      </c>
      <c r="D15" s="1987" t="s">
        <v>24</v>
      </c>
      <c r="E15" s="1991" t="s">
        <v>1239</v>
      </c>
      <c r="F15" s="1992"/>
      <c r="G15" s="1992"/>
      <c r="H15" s="2401"/>
      <c r="I15" s="2399"/>
      <c r="J15" s="2399"/>
      <c r="K15" s="2399"/>
      <c r="L15" s="2399"/>
      <c r="M15" s="2399"/>
    </row>
    <row r="16" spans="1:13" s="290" customFormat="1" ht="20.25" customHeight="1" hidden="1">
      <c r="A16" s="1988"/>
      <c r="B16" s="1988"/>
      <c r="C16" s="1988"/>
      <c r="D16" s="1988"/>
      <c r="E16" s="1975"/>
      <c r="F16" s="1976"/>
      <c r="G16" s="1976"/>
      <c r="H16" s="2401"/>
      <c r="I16" s="2399"/>
      <c r="J16" s="2399"/>
      <c r="K16" s="2399"/>
      <c r="L16" s="2399"/>
      <c r="M16" s="2399"/>
    </row>
    <row r="17" spans="1:13" s="290" customFormat="1" ht="20.25" customHeight="1" thickBot="1">
      <c r="A17" s="1989"/>
      <c r="B17" s="1990"/>
      <c r="C17" s="1989"/>
      <c r="D17" s="1990"/>
      <c r="E17" s="1993" t="s">
        <v>4</v>
      </c>
      <c r="F17" s="1994"/>
      <c r="G17" s="1994"/>
      <c r="H17" s="2401"/>
      <c r="I17" s="2399"/>
      <c r="J17" s="2399"/>
      <c r="K17" s="2399"/>
      <c r="L17" s="2399"/>
      <c r="M17" s="2399"/>
    </row>
    <row r="18" spans="1:13" s="290" customFormat="1" ht="20.25" customHeight="1" thickBot="1">
      <c r="A18" s="486"/>
      <c r="B18" s="487" t="s">
        <v>569</v>
      </c>
      <c r="C18" s="1995" t="s">
        <v>570</v>
      </c>
      <c r="D18" s="389" t="s">
        <v>571</v>
      </c>
      <c r="E18" s="1998">
        <f>59.9*1.12*1.05*1.1</f>
        <v>77.48664000000001</v>
      </c>
      <c r="F18" s="1999">
        <f aca="true" t="shared" si="0" ref="F18:G24">750*1.12*1.05*1.1</f>
        <v>970.2000000000002</v>
      </c>
      <c r="G18" s="1999">
        <f t="shared" si="0"/>
        <v>970.2000000000002</v>
      </c>
      <c r="H18" s="2402"/>
      <c r="I18" s="2400"/>
      <c r="J18" s="2400"/>
      <c r="K18" s="2400"/>
      <c r="L18" s="2400"/>
      <c r="M18" s="2400"/>
    </row>
    <row r="19" spans="1:13" s="290" customFormat="1" ht="20.25" customHeight="1" thickBot="1">
      <c r="A19" s="488"/>
      <c r="B19" s="489" t="s">
        <v>572</v>
      </c>
      <c r="C19" s="1996"/>
      <c r="D19" s="490" t="s">
        <v>573</v>
      </c>
      <c r="E19" s="1998">
        <f>88.6*1.12*1.05*1.1</f>
        <v>114.61296000000002</v>
      </c>
      <c r="F19" s="1999">
        <f t="shared" si="0"/>
        <v>970.2000000000002</v>
      </c>
      <c r="G19" s="1999">
        <f t="shared" si="0"/>
        <v>970.2000000000002</v>
      </c>
      <c r="H19" s="2402"/>
      <c r="I19" s="2400"/>
      <c r="J19" s="2400"/>
      <c r="K19" s="2400"/>
      <c r="L19" s="2400"/>
      <c r="M19" s="2400"/>
    </row>
    <row r="20" spans="1:13" s="290" customFormat="1" ht="20.25" customHeight="1" thickBot="1">
      <c r="A20" s="488"/>
      <c r="B20" s="489" t="s">
        <v>574</v>
      </c>
      <c r="C20" s="1996"/>
      <c r="D20" s="490" t="s">
        <v>573</v>
      </c>
      <c r="E20" s="1998">
        <f>109.6*1.12*1.05*1.1</f>
        <v>141.77856000000003</v>
      </c>
      <c r="F20" s="1999">
        <f t="shared" si="0"/>
        <v>970.2000000000002</v>
      </c>
      <c r="G20" s="1999">
        <f t="shared" si="0"/>
        <v>970.2000000000002</v>
      </c>
      <c r="H20" s="2402"/>
      <c r="I20" s="2400"/>
      <c r="J20" s="2400"/>
      <c r="K20" s="2400"/>
      <c r="L20" s="2400"/>
      <c r="M20" s="2400"/>
    </row>
    <row r="21" spans="1:13" s="290" customFormat="1" ht="20.25" customHeight="1" thickBot="1">
      <c r="A21" s="488"/>
      <c r="B21" s="489" t="s">
        <v>575</v>
      </c>
      <c r="C21" s="1996"/>
      <c r="D21" s="490" t="s">
        <v>573</v>
      </c>
      <c r="E21" s="1998">
        <f>136.5*1.12*1.05*1.1</f>
        <v>176.57640000000004</v>
      </c>
      <c r="F21" s="1999">
        <f t="shared" si="0"/>
        <v>970.2000000000002</v>
      </c>
      <c r="G21" s="1999">
        <f t="shared" si="0"/>
        <v>970.2000000000002</v>
      </c>
      <c r="H21" s="2402"/>
      <c r="I21" s="2400"/>
      <c r="J21" s="2400"/>
      <c r="K21" s="2400"/>
      <c r="L21" s="2400"/>
      <c r="M21" s="2400"/>
    </row>
    <row r="22" spans="1:13" s="290" customFormat="1" ht="20.25" customHeight="1" thickBot="1">
      <c r="A22" s="488"/>
      <c r="B22" s="489" t="s">
        <v>576</v>
      </c>
      <c r="C22" s="1996"/>
      <c r="D22" s="490" t="s">
        <v>571</v>
      </c>
      <c r="E22" s="1998">
        <f>93.7*1.12*1.05*1.1</f>
        <v>121.21032000000004</v>
      </c>
      <c r="F22" s="1999">
        <f t="shared" si="0"/>
        <v>970.2000000000002</v>
      </c>
      <c r="G22" s="1999">
        <f t="shared" si="0"/>
        <v>970.2000000000002</v>
      </c>
      <c r="H22" s="2402"/>
      <c r="I22" s="2400"/>
      <c r="J22" s="2400"/>
      <c r="K22" s="2400"/>
      <c r="L22" s="2400"/>
      <c r="M22" s="2400"/>
    </row>
    <row r="23" spans="1:13" s="290" customFormat="1" ht="20.25" customHeight="1" thickBot="1">
      <c r="A23" s="488"/>
      <c r="B23" s="489" t="s">
        <v>577</v>
      </c>
      <c r="C23" s="1996"/>
      <c r="D23" s="490" t="s">
        <v>573</v>
      </c>
      <c r="E23" s="1998">
        <f>124.8*1.12*1.05*1.1</f>
        <v>161.44128000000003</v>
      </c>
      <c r="F23" s="1999">
        <f t="shared" si="0"/>
        <v>970.2000000000002</v>
      </c>
      <c r="G23" s="1999">
        <f t="shared" si="0"/>
        <v>970.2000000000002</v>
      </c>
      <c r="H23" s="2402"/>
      <c r="I23" s="2400"/>
      <c r="J23" s="2400"/>
      <c r="K23" s="2400"/>
      <c r="L23" s="2400"/>
      <c r="M23" s="2400"/>
    </row>
    <row r="24" spans="1:13" s="290" customFormat="1" ht="20.25" customHeight="1" thickBot="1">
      <c r="A24" s="491"/>
      <c r="B24" s="492" t="s">
        <v>578</v>
      </c>
      <c r="C24" s="1997"/>
      <c r="D24" s="493" t="s">
        <v>573</v>
      </c>
      <c r="E24" s="2000">
        <f>150.3*1.12*1.05*1.1</f>
        <v>194.42808000000008</v>
      </c>
      <c r="F24" s="2001">
        <f t="shared" si="0"/>
        <v>970.2000000000002</v>
      </c>
      <c r="G24" s="2001">
        <f t="shared" si="0"/>
        <v>970.2000000000002</v>
      </c>
      <c r="H24" s="2402"/>
      <c r="I24" s="2400"/>
      <c r="J24" s="2400"/>
      <c r="K24" s="2400"/>
      <c r="L24" s="2400"/>
      <c r="M24" s="2400"/>
    </row>
    <row r="25" spans="1:16" s="127" customFormat="1" ht="20.25" customHeight="1">
      <c r="A25" s="385"/>
      <c r="B25" s="386"/>
      <c r="C25" s="387"/>
      <c r="D25" s="387"/>
      <c r="E25" s="382"/>
      <c r="F25" s="390"/>
      <c r="G25" s="388"/>
      <c r="H25" s="382"/>
      <c r="I25" s="390"/>
      <c r="J25" s="388"/>
      <c r="K25" s="382"/>
      <c r="L25" s="391"/>
      <c r="M25" s="392"/>
      <c r="N25" s="382"/>
      <c r="O25" s="391"/>
      <c r="P25" s="393"/>
    </row>
    <row r="26" spans="1:14" s="395" customFormat="1" ht="19.5" customHeight="1">
      <c r="A26" s="2002" t="s">
        <v>332</v>
      </c>
      <c r="B26" s="2002"/>
      <c r="C26" s="2002"/>
      <c r="D26" s="2002"/>
      <c r="E26" s="2002"/>
      <c r="F26" s="2002"/>
      <c r="G26" s="2002"/>
      <c r="H26" s="2404"/>
      <c r="I26" s="2404"/>
      <c r="J26" s="2404"/>
      <c r="K26" s="2404"/>
      <c r="L26" s="2404"/>
      <c r="M26" s="2404"/>
      <c r="N26" s="394"/>
    </row>
    <row r="27" spans="1:16" s="169" customFormat="1" ht="29.25" customHeight="1" thickBot="1">
      <c r="A27" s="2003" t="s">
        <v>334</v>
      </c>
      <c r="B27" s="2003"/>
      <c r="C27" s="2003"/>
      <c r="D27" s="2003"/>
      <c r="E27" s="2003"/>
      <c r="F27" s="2003"/>
      <c r="G27" s="2003"/>
      <c r="H27" s="2411"/>
      <c r="I27" s="2405"/>
      <c r="J27" s="2405"/>
      <c r="K27" s="2405"/>
      <c r="L27" s="2405"/>
      <c r="M27" s="2405"/>
      <c r="N27" s="396"/>
      <c r="O27" s="397"/>
      <c r="P27" s="397"/>
    </row>
    <row r="28" spans="1:16" s="290" customFormat="1" ht="19.5" customHeight="1">
      <c r="A28" s="2004" t="s">
        <v>0</v>
      </c>
      <c r="B28" s="2004" t="s">
        <v>1</v>
      </c>
      <c r="C28" s="2004" t="s">
        <v>19</v>
      </c>
      <c r="D28" s="2004" t="s">
        <v>20</v>
      </c>
      <c r="E28" s="2006" t="s">
        <v>1239</v>
      </c>
      <c r="F28" s="2007"/>
      <c r="G28" s="2010"/>
      <c r="H28" s="2412"/>
      <c r="I28" s="2406"/>
      <c r="J28" s="2406"/>
      <c r="K28" s="2406"/>
      <c r="L28" s="2406"/>
      <c r="M28" s="2406"/>
      <c r="N28" s="398"/>
      <c r="O28" s="399"/>
      <c r="P28" s="399"/>
    </row>
    <row r="29" spans="1:16" s="290" customFormat="1" ht="30.75" customHeight="1">
      <c r="A29" s="1988"/>
      <c r="B29" s="1988"/>
      <c r="C29" s="1988"/>
      <c r="D29" s="1988"/>
      <c r="E29" s="2008"/>
      <c r="F29" s="2009"/>
      <c r="G29" s="2011"/>
      <c r="H29" s="2412"/>
      <c r="I29" s="2406"/>
      <c r="J29" s="2406"/>
      <c r="K29" s="2406"/>
      <c r="L29" s="2406"/>
      <c r="M29" s="2406"/>
      <c r="N29" s="398"/>
      <c r="O29" s="399"/>
      <c r="P29" s="399"/>
    </row>
    <row r="30" spans="1:16" s="290" customFormat="1" ht="29.25" customHeight="1" thickBot="1">
      <c r="A30" s="2005"/>
      <c r="B30" s="2005"/>
      <c r="C30" s="2005"/>
      <c r="D30" s="2005"/>
      <c r="E30" s="327" t="s">
        <v>2</v>
      </c>
      <c r="F30" s="400" t="s">
        <v>3</v>
      </c>
      <c r="G30" s="401" t="s">
        <v>4</v>
      </c>
      <c r="H30" s="2413"/>
      <c r="I30" s="2408"/>
      <c r="J30" s="2409"/>
      <c r="K30" s="2407"/>
      <c r="L30" s="2408"/>
      <c r="M30" s="2409"/>
      <c r="N30" s="398"/>
      <c r="O30" s="399"/>
      <c r="P30" s="399"/>
    </row>
    <row r="31" spans="1:16" s="127" customFormat="1" ht="24.75" customHeight="1">
      <c r="A31" s="402" t="s">
        <v>591</v>
      </c>
      <c r="B31" s="403" t="s">
        <v>592</v>
      </c>
      <c r="C31" s="404" t="s">
        <v>27</v>
      </c>
      <c r="D31" s="404" t="s">
        <v>593</v>
      </c>
      <c r="E31" s="405">
        <f>2947*1.1*1.076</f>
        <v>3488.0692000000004</v>
      </c>
      <c r="F31" s="406" t="s">
        <v>3</v>
      </c>
      <c r="G31" s="407">
        <f>E31/30</f>
        <v>116.26897333333335</v>
      </c>
      <c r="H31" s="2414"/>
      <c r="I31" s="378"/>
      <c r="J31" s="388"/>
      <c r="K31" s="379"/>
      <c r="L31" s="378"/>
      <c r="M31" s="388"/>
      <c r="N31" s="408"/>
      <c r="O31" s="409"/>
      <c r="P31" s="409"/>
    </row>
    <row r="32" spans="1:16" s="127" customFormat="1" ht="24.75" customHeight="1">
      <c r="A32" s="410" t="s">
        <v>594</v>
      </c>
      <c r="B32" s="411" t="s">
        <v>592</v>
      </c>
      <c r="C32" s="412" t="s">
        <v>27</v>
      </c>
      <c r="D32" s="412" t="s">
        <v>25</v>
      </c>
      <c r="E32" s="358">
        <f>5874*1.1*1.076</f>
        <v>6952.466400000001</v>
      </c>
      <c r="F32" s="380" t="s">
        <v>3</v>
      </c>
      <c r="G32" s="940">
        <f>E32/60</f>
        <v>115.87444000000002</v>
      </c>
      <c r="H32" s="2414"/>
      <c r="I32" s="378"/>
      <c r="J32" s="2410"/>
      <c r="K32" s="379"/>
      <c r="L32" s="378"/>
      <c r="M32" s="2410"/>
      <c r="N32" s="408"/>
      <c r="O32" s="409"/>
      <c r="P32" s="409"/>
    </row>
    <row r="33" spans="1:13" s="127" customFormat="1" ht="24.75" customHeight="1" thickBot="1">
      <c r="A33" s="413" t="s">
        <v>595</v>
      </c>
      <c r="B33" s="414" t="s">
        <v>596</v>
      </c>
      <c r="C33" s="415" t="s">
        <v>597</v>
      </c>
      <c r="D33" s="415" t="s">
        <v>25</v>
      </c>
      <c r="E33" s="359">
        <f>7302*1.1*1.076</f>
        <v>8642.647200000001</v>
      </c>
      <c r="F33" s="383" t="s">
        <v>3</v>
      </c>
      <c r="G33" s="947">
        <f>E33/60</f>
        <v>144.04412000000002</v>
      </c>
      <c r="H33" s="2414"/>
      <c r="I33" s="378"/>
      <c r="J33" s="2410"/>
      <c r="K33" s="379"/>
      <c r="L33" s="378"/>
      <c r="M33" s="2410"/>
    </row>
    <row r="34" spans="8:13" ht="12.75">
      <c r="H34" s="272"/>
      <c r="I34" s="272"/>
      <c r="J34" s="272"/>
      <c r="K34" s="272"/>
      <c r="L34" s="272"/>
      <c r="M34" s="272"/>
    </row>
    <row r="35" spans="1:16" s="556" customFormat="1" ht="18.75" thickBot="1">
      <c r="A35" s="2416" t="s">
        <v>1174</v>
      </c>
      <c r="B35" s="2416"/>
      <c r="C35" s="2416"/>
      <c r="D35" s="2416"/>
      <c r="E35" s="2416"/>
      <c r="F35" s="2416"/>
      <c r="G35" s="2416"/>
      <c r="H35" s="2415"/>
      <c r="I35" s="2415"/>
      <c r="J35" s="2415"/>
      <c r="K35" s="2415"/>
      <c r="L35" s="2415"/>
      <c r="M35" s="2415"/>
      <c r="N35" s="2415"/>
      <c r="O35" s="2415"/>
      <c r="P35" s="2415"/>
    </row>
    <row r="36" spans="1:13" s="1402" customFormat="1" ht="34.5" customHeight="1">
      <c r="A36" s="1969" t="s">
        <v>0</v>
      </c>
      <c r="B36" s="1971" t="s">
        <v>1</v>
      </c>
      <c r="C36" s="1971" t="s">
        <v>144</v>
      </c>
      <c r="D36" s="1971" t="s">
        <v>141</v>
      </c>
      <c r="E36" s="1967" t="s">
        <v>1239</v>
      </c>
      <c r="F36" s="1968"/>
      <c r="G36" s="1968"/>
      <c r="H36" s="2426"/>
      <c r="I36" s="2420"/>
      <c r="J36" s="2420"/>
      <c r="K36" s="2420"/>
      <c r="L36" s="2420"/>
      <c r="M36" s="2420"/>
    </row>
    <row r="37" spans="1:13" s="1127" customFormat="1" ht="15" thickBot="1">
      <c r="A37" s="1970"/>
      <c r="B37" s="1972"/>
      <c r="C37" s="1972"/>
      <c r="D37" s="1972"/>
      <c r="E37" s="1403" t="s">
        <v>2</v>
      </c>
      <c r="F37" s="1404"/>
      <c r="G37" s="1405" t="s">
        <v>4</v>
      </c>
      <c r="H37" s="2427"/>
      <c r="I37" s="2422"/>
      <c r="J37" s="2421"/>
      <c r="K37" s="2421"/>
      <c r="L37" s="2422"/>
      <c r="M37" s="2421"/>
    </row>
    <row r="38" spans="1:13" s="127" customFormat="1" ht="40.5">
      <c r="A38" s="1406" t="s">
        <v>1175</v>
      </c>
      <c r="B38" s="1407" t="s">
        <v>1176</v>
      </c>
      <c r="C38" s="996">
        <v>50</v>
      </c>
      <c r="D38" s="1408">
        <v>5</v>
      </c>
      <c r="E38" s="1409">
        <v>25500</v>
      </c>
      <c r="F38" s="1410" t="s">
        <v>1177</v>
      </c>
      <c r="G38" s="2417">
        <v>102</v>
      </c>
      <c r="H38" s="2428"/>
      <c r="I38" s="2424"/>
      <c r="J38" s="2425"/>
      <c r="K38" s="2423"/>
      <c r="L38" s="2424"/>
      <c r="M38" s="2425"/>
    </row>
    <row r="39" spans="1:13" s="127" customFormat="1" ht="40.5">
      <c r="A39" s="1411" t="s">
        <v>1178</v>
      </c>
      <c r="B39" s="1412" t="s">
        <v>1179</v>
      </c>
      <c r="C39" s="1413">
        <v>50</v>
      </c>
      <c r="D39" s="1414">
        <v>5</v>
      </c>
      <c r="E39" s="1415">
        <v>38250</v>
      </c>
      <c r="F39" s="1416" t="s">
        <v>1177</v>
      </c>
      <c r="G39" s="2418">
        <v>153</v>
      </c>
      <c r="H39" s="2428"/>
      <c r="I39" s="2424"/>
      <c r="J39" s="2425"/>
      <c r="K39" s="2423"/>
      <c r="L39" s="2424"/>
      <c r="M39" s="2425"/>
    </row>
    <row r="40" spans="1:13" s="127" customFormat="1" ht="40.5">
      <c r="A40" s="1411" t="s">
        <v>1180</v>
      </c>
      <c r="B40" s="1412" t="s">
        <v>1181</v>
      </c>
      <c r="C40" s="1413">
        <v>50</v>
      </c>
      <c r="D40" s="1414">
        <v>5</v>
      </c>
      <c r="E40" s="1415">
        <v>50750</v>
      </c>
      <c r="F40" s="1416" t="s">
        <v>1177</v>
      </c>
      <c r="G40" s="2418">
        <v>203</v>
      </c>
      <c r="H40" s="2428"/>
      <c r="I40" s="2424"/>
      <c r="J40" s="2425"/>
      <c r="K40" s="2423"/>
      <c r="L40" s="2424"/>
      <c r="M40" s="2425"/>
    </row>
    <row r="41" spans="1:13" s="127" customFormat="1" ht="41.25" thickBot="1">
      <c r="A41" s="1417" t="s">
        <v>1182</v>
      </c>
      <c r="B41" s="1418" t="s">
        <v>1183</v>
      </c>
      <c r="C41" s="997">
        <v>50</v>
      </c>
      <c r="D41" s="1419">
        <v>5</v>
      </c>
      <c r="E41" s="1420">
        <v>63500</v>
      </c>
      <c r="F41" s="1421" t="s">
        <v>1177</v>
      </c>
      <c r="G41" s="2419">
        <v>254</v>
      </c>
      <c r="H41" s="2428"/>
      <c r="I41" s="2424"/>
      <c r="J41" s="2425"/>
      <c r="K41" s="2423"/>
      <c r="L41" s="2424"/>
      <c r="M41" s="2425"/>
    </row>
    <row r="42" spans="1:13" s="127" customFormat="1" ht="40.5">
      <c r="A42" s="1406" t="s">
        <v>1184</v>
      </c>
      <c r="B42" s="1407" t="s">
        <v>1185</v>
      </c>
      <c r="C42" s="996">
        <v>50</v>
      </c>
      <c r="D42" s="996">
        <v>5</v>
      </c>
      <c r="E42" s="1422">
        <v>26250</v>
      </c>
      <c r="F42" s="1410" t="s">
        <v>1177</v>
      </c>
      <c r="G42" s="2429">
        <v>105</v>
      </c>
      <c r="H42" s="2433"/>
      <c r="I42" s="2424"/>
      <c r="J42" s="2425"/>
      <c r="K42" s="2432"/>
      <c r="L42" s="2424"/>
      <c r="M42" s="2425"/>
    </row>
    <row r="43" spans="1:13" s="127" customFormat="1" ht="40.5">
      <c r="A43" s="1411" t="s">
        <v>1186</v>
      </c>
      <c r="B43" s="1412" t="s">
        <v>1187</v>
      </c>
      <c r="C43" s="1413">
        <v>50</v>
      </c>
      <c r="D43" s="1413">
        <v>5</v>
      </c>
      <c r="E43" s="1423">
        <v>39500</v>
      </c>
      <c r="F43" s="1424" t="s">
        <v>1177</v>
      </c>
      <c r="G43" s="2430">
        <v>158</v>
      </c>
      <c r="H43" s="2433"/>
      <c r="I43" s="2424"/>
      <c r="J43" s="2425"/>
      <c r="K43" s="2432"/>
      <c r="L43" s="2424"/>
      <c r="M43" s="2425"/>
    </row>
    <row r="44" spans="1:13" s="127" customFormat="1" ht="40.5">
      <c r="A44" s="1411" t="s">
        <v>1188</v>
      </c>
      <c r="B44" s="1412" t="s">
        <v>1189</v>
      </c>
      <c r="C44" s="1413">
        <v>50</v>
      </c>
      <c r="D44" s="1413">
        <v>5</v>
      </c>
      <c r="E44" s="1423">
        <v>52500</v>
      </c>
      <c r="F44" s="1416" t="s">
        <v>1177</v>
      </c>
      <c r="G44" s="2430">
        <v>210</v>
      </c>
      <c r="H44" s="2433"/>
      <c r="I44" s="2424"/>
      <c r="J44" s="2425"/>
      <c r="K44" s="2432"/>
      <c r="L44" s="2424"/>
      <c r="M44" s="2425"/>
    </row>
    <row r="45" spans="1:13" s="127" customFormat="1" ht="41.25" thickBot="1">
      <c r="A45" s="1417" t="s">
        <v>1190</v>
      </c>
      <c r="B45" s="1418" t="s">
        <v>1191</v>
      </c>
      <c r="C45" s="1425">
        <v>50</v>
      </c>
      <c r="D45" s="1425">
        <v>5</v>
      </c>
      <c r="E45" s="1426">
        <v>65750</v>
      </c>
      <c r="F45" s="1421" t="s">
        <v>1177</v>
      </c>
      <c r="G45" s="2431">
        <v>263</v>
      </c>
      <c r="H45" s="2433"/>
      <c r="I45" s="2424"/>
      <c r="J45" s="2425"/>
      <c r="K45" s="2432"/>
      <c r="L45" s="2424"/>
      <c r="M45" s="2425"/>
    </row>
    <row r="46" spans="1:19" s="1127" customFormat="1" ht="14.25">
      <c r="A46" s="1427"/>
      <c r="B46" s="1427"/>
      <c r="C46" s="1428"/>
      <c r="D46" s="1428"/>
      <c r="E46" s="1429"/>
      <c r="F46" s="1430"/>
      <c r="G46" s="1431"/>
      <c r="H46" s="1429"/>
      <c r="I46" s="1430"/>
      <c r="J46" s="1432"/>
      <c r="K46" s="1429"/>
      <c r="L46" s="1430"/>
      <c r="M46" s="1432"/>
      <c r="N46" s="1429"/>
      <c r="O46" s="1433"/>
      <c r="P46" s="1434"/>
      <c r="Q46" s="1192"/>
      <c r="R46" s="1435"/>
      <c r="S46" s="1192"/>
    </row>
    <row r="47" s="290" customFormat="1" ht="19.5">
      <c r="A47" s="1436" t="s">
        <v>1192</v>
      </c>
    </row>
    <row r="48" spans="2:13" s="1437" customFormat="1" ht="12.75">
      <c r="B48" s="174"/>
      <c r="H48" s="1438"/>
      <c r="I48" s="1438"/>
      <c r="J48" s="1438"/>
      <c r="K48" s="1438"/>
      <c r="L48" s="1438"/>
      <c r="M48" s="1438"/>
    </row>
    <row r="49" spans="2:13" s="1437" customFormat="1" ht="12.75">
      <c r="B49" s="174"/>
      <c r="H49" s="1438"/>
      <c r="I49" s="1438"/>
      <c r="J49" s="1438"/>
      <c r="K49" s="1438"/>
      <c r="L49" s="1438"/>
      <c r="M49" s="1438"/>
    </row>
    <row r="50" spans="2:13" s="1437" customFormat="1" ht="12.75">
      <c r="B50" s="174"/>
      <c r="H50" s="1438"/>
      <c r="I50" s="1438"/>
      <c r="J50" s="1438"/>
      <c r="K50" s="1438"/>
      <c r="L50" s="1438"/>
      <c r="M50" s="1438"/>
    </row>
    <row r="51" spans="2:13" s="1437" customFormat="1" ht="12.75">
      <c r="B51" s="174"/>
      <c r="H51" s="1438"/>
      <c r="I51" s="1438"/>
      <c r="J51" s="1438"/>
      <c r="K51" s="1438"/>
      <c r="L51" s="1438"/>
      <c r="M51" s="1438"/>
    </row>
    <row r="52" spans="2:13" s="1437" customFormat="1" ht="12.75">
      <c r="B52" s="174"/>
      <c r="H52" s="1438"/>
      <c r="I52" s="1438"/>
      <c r="J52" s="1438"/>
      <c r="K52" s="1438"/>
      <c r="L52" s="1438"/>
      <c r="M52" s="1438"/>
    </row>
    <row r="53" spans="2:13" s="1437" customFormat="1" ht="12.75">
      <c r="B53" s="174"/>
      <c r="H53" s="1438"/>
      <c r="I53" s="1438"/>
      <c r="J53" s="1438"/>
      <c r="K53" s="1438"/>
      <c r="L53" s="1438"/>
      <c r="M53" s="1438"/>
    </row>
    <row r="54" spans="2:13" s="1437" customFormat="1" ht="12.75">
      <c r="B54" s="174"/>
      <c r="H54" s="1438"/>
      <c r="I54" s="1438"/>
      <c r="J54" s="1438"/>
      <c r="K54" s="1438"/>
      <c r="L54" s="1438"/>
      <c r="M54" s="1438"/>
    </row>
    <row r="55" spans="2:13" s="1437" customFormat="1" ht="12.75">
      <c r="B55" s="174"/>
      <c r="H55" s="1438"/>
      <c r="I55" s="1438"/>
      <c r="J55" s="1438"/>
      <c r="K55" s="1438"/>
      <c r="L55" s="1438"/>
      <c r="M55" s="1438"/>
    </row>
    <row r="56" spans="2:13" s="1437" customFormat="1" ht="12.75">
      <c r="B56" s="174"/>
      <c r="H56" s="1438"/>
      <c r="I56" s="1438"/>
      <c r="J56" s="1438"/>
      <c r="K56" s="1438"/>
      <c r="L56" s="1438"/>
      <c r="M56" s="1438"/>
    </row>
    <row r="57" spans="2:13" s="1437" customFormat="1" ht="12.75">
      <c r="B57" s="174"/>
      <c r="H57" s="1438"/>
      <c r="I57" s="1438"/>
      <c r="J57" s="1438"/>
      <c r="K57" s="1438"/>
      <c r="L57" s="1438"/>
      <c r="M57" s="1438"/>
    </row>
    <row r="58" spans="2:13" s="1437" customFormat="1" ht="12.75">
      <c r="B58" s="174"/>
      <c r="H58" s="1438"/>
      <c r="I58" s="1438"/>
      <c r="J58" s="1438"/>
      <c r="K58" s="1438"/>
      <c r="L58" s="1438"/>
      <c r="M58" s="1438"/>
    </row>
    <row r="59" spans="2:13" s="1437" customFormat="1" ht="12.75">
      <c r="B59" s="174"/>
      <c r="H59" s="1438"/>
      <c r="I59" s="1438"/>
      <c r="J59" s="1438"/>
      <c r="K59" s="1438"/>
      <c r="L59" s="1438"/>
      <c r="M59" s="1438"/>
    </row>
    <row r="60" spans="2:13" s="1437" customFormat="1" ht="12.75">
      <c r="B60" s="174"/>
      <c r="H60" s="1438"/>
      <c r="I60" s="1438"/>
      <c r="J60" s="1438"/>
      <c r="K60" s="1438"/>
      <c r="L60" s="1438"/>
      <c r="M60" s="1438"/>
    </row>
    <row r="61" spans="2:13" s="1437" customFormat="1" ht="12.75">
      <c r="B61" s="174"/>
      <c r="H61" s="1438"/>
      <c r="I61" s="1438"/>
      <c r="J61" s="1438"/>
      <c r="K61" s="1438"/>
      <c r="L61" s="1438"/>
      <c r="M61" s="1438"/>
    </row>
    <row r="62" spans="2:13" s="1437" customFormat="1" ht="12.75">
      <c r="B62" s="174"/>
      <c r="H62" s="1438"/>
      <c r="I62" s="1438"/>
      <c r="J62" s="1438"/>
      <c r="K62" s="1438"/>
      <c r="L62" s="1438"/>
      <c r="M62" s="1438"/>
    </row>
    <row r="63" spans="2:13" s="1437" customFormat="1" ht="12.75">
      <c r="B63" s="174"/>
      <c r="H63" s="1438"/>
      <c r="I63" s="1438"/>
      <c r="J63" s="1438"/>
      <c r="K63" s="1438"/>
      <c r="L63" s="1438"/>
      <c r="M63" s="1438"/>
    </row>
    <row r="64" spans="2:13" s="1437" customFormat="1" ht="12.75">
      <c r="B64" s="174"/>
      <c r="H64" s="1438"/>
      <c r="I64" s="1438"/>
      <c r="J64" s="1438"/>
      <c r="K64" s="1438"/>
      <c r="L64" s="1438"/>
      <c r="M64" s="1438"/>
    </row>
    <row r="65" spans="2:13" s="1437" customFormat="1" ht="12.75">
      <c r="B65" s="174"/>
      <c r="H65" s="1438"/>
      <c r="I65" s="1438"/>
      <c r="J65" s="1438"/>
      <c r="K65" s="1438"/>
      <c r="L65" s="1438"/>
      <c r="M65" s="1438"/>
    </row>
    <row r="66" spans="2:13" s="1437" customFormat="1" ht="12.75">
      <c r="B66" s="174"/>
      <c r="H66" s="1438"/>
      <c r="I66" s="1438"/>
      <c r="J66" s="1438"/>
      <c r="K66" s="1438"/>
      <c r="L66" s="1438"/>
      <c r="M66" s="1438"/>
    </row>
    <row r="67" spans="2:13" s="1437" customFormat="1" ht="12.75">
      <c r="B67" s="174"/>
      <c r="H67" s="1438"/>
      <c r="I67" s="1438"/>
      <c r="J67" s="1438"/>
      <c r="K67" s="1438"/>
      <c r="L67" s="1438"/>
      <c r="M67" s="1438"/>
    </row>
    <row r="68" spans="2:13" s="1437" customFormat="1" ht="12.75">
      <c r="B68" s="174"/>
      <c r="H68" s="1438"/>
      <c r="I68" s="1438"/>
      <c r="J68" s="1438"/>
      <c r="K68" s="1438"/>
      <c r="L68" s="1438"/>
      <c r="M68" s="1438"/>
    </row>
    <row r="69" spans="2:13" s="1437" customFormat="1" ht="12.75">
      <c r="B69" s="174"/>
      <c r="H69" s="1438"/>
      <c r="I69" s="1438"/>
      <c r="J69" s="1438"/>
      <c r="K69" s="1438"/>
      <c r="L69" s="1438"/>
      <c r="M69" s="1438"/>
    </row>
    <row r="70" spans="2:13" s="1437" customFormat="1" ht="12.75">
      <c r="B70" s="174"/>
      <c r="H70" s="1438"/>
      <c r="I70" s="1438"/>
      <c r="J70" s="1438"/>
      <c r="K70" s="1438"/>
      <c r="L70" s="1438"/>
      <c r="M70" s="1438"/>
    </row>
    <row r="71" spans="2:13" s="1437" customFormat="1" ht="12.75">
      <c r="B71" s="174"/>
      <c r="H71" s="1438"/>
      <c r="I71" s="1438"/>
      <c r="J71" s="1438"/>
      <c r="K71" s="1438"/>
      <c r="L71" s="1438"/>
      <c r="M71" s="1438"/>
    </row>
    <row r="72" spans="2:13" s="1437" customFormat="1" ht="12.75">
      <c r="B72" s="174"/>
      <c r="H72" s="1438"/>
      <c r="I72" s="1438"/>
      <c r="J72" s="1438"/>
      <c r="K72" s="1438"/>
      <c r="L72" s="1438"/>
      <c r="M72" s="1438"/>
    </row>
    <row r="73" spans="2:13" s="1437" customFormat="1" ht="12.75">
      <c r="B73" s="174"/>
      <c r="H73" s="1438"/>
      <c r="I73" s="1438"/>
      <c r="J73" s="1438"/>
      <c r="K73" s="1438"/>
      <c r="L73" s="1438"/>
      <c r="M73" s="1438"/>
    </row>
    <row r="74" spans="2:13" s="1437" customFormat="1" ht="12.75">
      <c r="B74" s="174"/>
      <c r="H74" s="1438"/>
      <c r="I74" s="1438"/>
      <c r="J74" s="1438"/>
      <c r="K74" s="1438"/>
      <c r="L74" s="1438"/>
      <c r="M74" s="1438"/>
    </row>
    <row r="75" spans="2:13" s="1437" customFormat="1" ht="12.75">
      <c r="B75" s="174"/>
      <c r="H75" s="1438"/>
      <c r="I75" s="1438"/>
      <c r="J75" s="1438"/>
      <c r="K75" s="1438"/>
      <c r="L75" s="1438"/>
      <c r="M75" s="1438"/>
    </row>
    <row r="76" spans="2:13" s="1437" customFormat="1" ht="12.75">
      <c r="B76" s="174"/>
      <c r="H76" s="1438"/>
      <c r="I76" s="1438"/>
      <c r="J76" s="1438"/>
      <c r="K76" s="1438"/>
      <c r="L76" s="1438"/>
      <c r="M76" s="1438"/>
    </row>
    <row r="77" spans="2:13" s="1437" customFormat="1" ht="12.75">
      <c r="B77" s="174"/>
      <c r="H77" s="1438"/>
      <c r="I77" s="1438"/>
      <c r="J77" s="1438"/>
      <c r="K77" s="1438"/>
      <c r="L77" s="1438"/>
      <c r="M77" s="1438"/>
    </row>
    <row r="78" spans="2:13" s="1437" customFormat="1" ht="12.75">
      <c r="B78" s="174"/>
      <c r="H78" s="1438"/>
      <c r="I78" s="1438"/>
      <c r="J78" s="1438"/>
      <c r="K78" s="1438"/>
      <c r="L78" s="1438"/>
      <c r="M78" s="1438"/>
    </row>
    <row r="79" spans="2:13" s="1437" customFormat="1" ht="12.75">
      <c r="B79" s="174"/>
      <c r="H79" s="1438"/>
      <c r="I79" s="1438"/>
      <c r="J79" s="1438"/>
      <c r="K79" s="1438"/>
      <c r="L79" s="1438"/>
      <c r="M79" s="1438"/>
    </row>
    <row r="80" spans="2:13" s="1437" customFormat="1" ht="12.75">
      <c r="B80" s="174"/>
      <c r="H80" s="1438"/>
      <c r="I80" s="1438"/>
      <c r="J80" s="1438"/>
      <c r="K80" s="1438"/>
      <c r="L80" s="1438"/>
      <c r="M80" s="1438"/>
    </row>
    <row r="81" spans="2:13" s="1437" customFormat="1" ht="12.75">
      <c r="B81" s="174"/>
      <c r="H81" s="1438"/>
      <c r="I81" s="1438"/>
      <c r="J81" s="1438"/>
      <c r="K81" s="1438"/>
      <c r="L81" s="1438"/>
      <c r="M81" s="1438"/>
    </row>
    <row r="82" spans="2:13" s="1437" customFormat="1" ht="12.75">
      <c r="B82" s="174"/>
      <c r="H82" s="1438"/>
      <c r="I82" s="1438"/>
      <c r="J82" s="1438"/>
      <c r="K82" s="1438"/>
      <c r="L82" s="1438"/>
      <c r="M82" s="1438"/>
    </row>
    <row r="83" spans="2:13" s="1437" customFormat="1" ht="12.75">
      <c r="B83" s="174"/>
      <c r="H83" s="1438"/>
      <c r="I83" s="1438"/>
      <c r="J83" s="1438"/>
      <c r="K83" s="1438"/>
      <c r="L83" s="1438"/>
      <c r="M83" s="1438"/>
    </row>
    <row r="84" spans="2:13" s="1437" customFormat="1" ht="12.75">
      <c r="B84" s="174"/>
      <c r="H84" s="1438"/>
      <c r="I84" s="1438"/>
      <c r="J84" s="1438"/>
      <c r="K84" s="1438"/>
      <c r="L84" s="1438"/>
      <c r="M84" s="1438"/>
    </row>
    <row r="85" spans="2:13" s="1437" customFormat="1" ht="12.75">
      <c r="B85" s="174"/>
      <c r="H85" s="1438"/>
      <c r="I85" s="1438"/>
      <c r="J85" s="1438"/>
      <c r="K85" s="1438"/>
      <c r="L85" s="1438"/>
      <c r="M85" s="1438"/>
    </row>
    <row r="86" spans="2:13" s="1437" customFormat="1" ht="12.75">
      <c r="B86" s="174"/>
      <c r="H86" s="1438"/>
      <c r="I86" s="1438"/>
      <c r="J86" s="1438"/>
      <c r="K86" s="1438"/>
      <c r="L86" s="1438"/>
      <c r="M86" s="1438"/>
    </row>
    <row r="87" spans="2:13" s="1437" customFormat="1" ht="12.75">
      <c r="B87" s="174"/>
      <c r="H87" s="1438"/>
      <c r="I87" s="1438"/>
      <c r="J87" s="1438"/>
      <c r="K87" s="1438"/>
      <c r="L87" s="1438"/>
      <c r="M87" s="1438"/>
    </row>
    <row r="88" spans="2:13" s="1437" customFormat="1" ht="12.75">
      <c r="B88" s="174"/>
      <c r="H88" s="1438"/>
      <c r="I88" s="1438"/>
      <c r="J88" s="1438"/>
      <c r="K88" s="1438"/>
      <c r="L88" s="1438"/>
      <c r="M88" s="1438"/>
    </row>
    <row r="89" spans="2:13" s="1437" customFormat="1" ht="12.75">
      <c r="B89" s="174"/>
      <c r="H89" s="1438"/>
      <c r="I89" s="1438"/>
      <c r="J89" s="1438"/>
      <c r="K89" s="1438"/>
      <c r="L89" s="1438"/>
      <c r="M89" s="1438"/>
    </row>
    <row r="90" spans="2:13" s="1437" customFormat="1" ht="12.75">
      <c r="B90" s="174"/>
      <c r="H90" s="1438"/>
      <c r="I90" s="1438"/>
      <c r="J90" s="1438"/>
      <c r="K90" s="1438"/>
      <c r="L90" s="1438"/>
      <c r="M90" s="1438"/>
    </row>
    <row r="91" spans="2:13" s="1437" customFormat="1" ht="12.75">
      <c r="B91" s="174"/>
      <c r="H91" s="1438"/>
      <c r="I91" s="1438"/>
      <c r="J91" s="1438"/>
      <c r="K91" s="1438"/>
      <c r="L91" s="1438"/>
      <c r="M91" s="1438"/>
    </row>
    <row r="92" spans="2:13" s="1437" customFormat="1" ht="12.75">
      <c r="B92" s="174"/>
      <c r="H92" s="1438"/>
      <c r="I92" s="1438"/>
      <c r="J92" s="1438"/>
      <c r="K92" s="1438"/>
      <c r="L92" s="1438"/>
      <c r="M92" s="1438"/>
    </row>
    <row r="93" spans="2:13" s="1437" customFormat="1" ht="12.75">
      <c r="B93" s="174"/>
      <c r="H93" s="1438"/>
      <c r="I93" s="1438"/>
      <c r="J93" s="1438"/>
      <c r="K93" s="1438"/>
      <c r="L93" s="1438"/>
      <c r="M93" s="1438"/>
    </row>
    <row r="94" spans="2:13" s="1437" customFormat="1" ht="12.75">
      <c r="B94" s="174"/>
      <c r="H94" s="1438"/>
      <c r="I94" s="1438"/>
      <c r="J94" s="1438"/>
      <c r="K94" s="1438"/>
      <c r="L94" s="1438"/>
      <c r="M94" s="1438"/>
    </row>
    <row r="95" spans="2:13" s="1437" customFormat="1" ht="12.75">
      <c r="B95" s="174"/>
      <c r="H95" s="1438"/>
      <c r="I95" s="1438"/>
      <c r="J95" s="1438"/>
      <c r="K95" s="1438"/>
      <c r="L95" s="1438"/>
      <c r="M95" s="1438"/>
    </row>
    <row r="96" spans="2:13" s="1437" customFormat="1" ht="12.75">
      <c r="B96" s="174"/>
      <c r="H96" s="1438"/>
      <c r="I96" s="1438"/>
      <c r="J96" s="1438"/>
      <c r="K96" s="1438"/>
      <c r="L96" s="1438"/>
      <c r="M96" s="1438"/>
    </row>
    <row r="97" spans="2:13" s="1437" customFormat="1" ht="12.75">
      <c r="B97" s="174"/>
      <c r="H97" s="1438"/>
      <c r="I97" s="1438"/>
      <c r="J97" s="1438"/>
      <c r="K97" s="1438"/>
      <c r="L97" s="1438"/>
      <c r="M97" s="1438"/>
    </row>
    <row r="98" spans="2:13" s="1437" customFormat="1" ht="12.75">
      <c r="B98" s="174"/>
      <c r="H98" s="1438"/>
      <c r="I98" s="1438"/>
      <c r="J98" s="1438"/>
      <c r="K98" s="1438"/>
      <c r="L98" s="1438"/>
      <c r="M98" s="1438"/>
    </row>
    <row r="99" spans="2:13" s="1437" customFormat="1" ht="12.75">
      <c r="B99" s="174"/>
      <c r="H99" s="1438"/>
      <c r="I99" s="1438"/>
      <c r="J99" s="1438"/>
      <c r="K99" s="1438"/>
      <c r="L99" s="1438"/>
      <c r="M99" s="1438"/>
    </row>
    <row r="100" spans="2:13" s="1437" customFormat="1" ht="12.75">
      <c r="B100" s="174"/>
      <c r="H100" s="1438"/>
      <c r="I100" s="1438"/>
      <c r="J100" s="1438"/>
      <c r="K100" s="1438"/>
      <c r="L100" s="1438"/>
      <c r="M100" s="1438"/>
    </row>
    <row r="101" spans="2:13" s="1437" customFormat="1" ht="12.75">
      <c r="B101" s="174"/>
      <c r="H101" s="1438"/>
      <c r="I101" s="1438"/>
      <c r="J101" s="1438"/>
      <c r="K101" s="1438"/>
      <c r="L101" s="1438"/>
      <c r="M101" s="1438"/>
    </row>
    <row r="102" spans="2:13" s="1437" customFormat="1" ht="12.75">
      <c r="B102" s="174"/>
      <c r="H102" s="1438"/>
      <c r="I102" s="1438"/>
      <c r="J102" s="1438"/>
      <c r="K102" s="1438"/>
      <c r="L102" s="1438"/>
      <c r="M102" s="1438"/>
    </row>
    <row r="103" spans="2:13" s="1437" customFormat="1" ht="12.75">
      <c r="B103" s="174"/>
      <c r="H103" s="1438"/>
      <c r="I103" s="1438"/>
      <c r="J103" s="1438"/>
      <c r="K103" s="1438"/>
      <c r="L103" s="1438"/>
      <c r="M103" s="1438"/>
    </row>
    <row r="104" spans="2:13" s="1437" customFormat="1" ht="12.75">
      <c r="B104" s="174"/>
      <c r="H104" s="1438"/>
      <c r="I104" s="1438"/>
      <c r="J104" s="1438"/>
      <c r="K104" s="1438"/>
      <c r="L104" s="1438"/>
      <c r="M104" s="1438"/>
    </row>
    <row r="105" spans="2:13" s="1437" customFormat="1" ht="12.75">
      <c r="B105" s="174"/>
      <c r="H105" s="1438"/>
      <c r="I105" s="1438"/>
      <c r="J105" s="1438"/>
      <c r="K105" s="1438"/>
      <c r="L105" s="1438"/>
      <c r="M105" s="1438"/>
    </row>
    <row r="106" spans="2:13" s="1437" customFormat="1" ht="12.75">
      <c r="B106" s="174"/>
      <c r="H106" s="1438"/>
      <c r="I106" s="1438"/>
      <c r="J106" s="1438"/>
      <c r="K106" s="1438"/>
      <c r="L106" s="1438"/>
      <c r="M106" s="1438"/>
    </row>
    <row r="107" spans="2:13" s="1437" customFormat="1" ht="12.75">
      <c r="B107" s="174"/>
      <c r="H107" s="1438"/>
      <c r="I107" s="1438"/>
      <c r="J107" s="1438"/>
      <c r="K107" s="1438"/>
      <c r="L107" s="1438"/>
      <c r="M107" s="1438"/>
    </row>
    <row r="108" spans="2:13" s="1437" customFormat="1" ht="12.75">
      <c r="B108" s="174"/>
      <c r="H108" s="1438"/>
      <c r="I108" s="1438"/>
      <c r="J108" s="1438"/>
      <c r="K108" s="1438"/>
      <c r="L108" s="1438"/>
      <c r="M108" s="1438"/>
    </row>
    <row r="109" spans="2:13" s="1437" customFormat="1" ht="12.75">
      <c r="B109" s="174"/>
      <c r="H109" s="1438"/>
      <c r="I109" s="1438"/>
      <c r="J109" s="1438"/>
      <c r="K109" s="1438"/>
      <c r="L109" s="1438"/>
      <c r="M109" s="1438"/>
    </row>
    <row r="110" spans="8:13" ht="12.75">
      <c r="H110" s="272"/>
      <c r="I110" s="272"/>
      <c r="J110" s="272"/>
      <c r="K110" s="272"/>
      <c r="L110" s="272"/>
      <c r="M110" s="272"/>
    </row>
    <row r="111" spans="8:13" ht="12.75">
      <c r="H111" s="272"/>
      <c r="I111" s="272"/>
      <c r="J111" s="272"/>
      <c r="K111" s="272"/>
      <c r="L111" s="272"/>
      <c r="M111" s="272"/>
    </row>
    <row r="112" spans="8:13" ht="12.75">
      <c r="H112" s="272"/>
      <c r="I112" s="272"/>
      <c r="J112" s="272"/>
      <c r="K112" s="272"/>
      <c r="L112" s="272"/>
      <c r="M112" s="272"/>
    </row>
    <row r="113" spans="8:13" ht="12.75">
      <c r="H113" s="272"/>
      <c r="I113" s="272"/>
      <c r="J113" s="272"/>
      <c r="K113" s="272"/>
      <c r="L113" s="272"/>
      <c r="M113" s="272"/>
    </row>
    <row r="114" spans="8:13" ht="12.75">
      <c r="H114" s="272"/>
      <c r="I114" s="272"/>
      <c r="J114" s="272"/>
      <c r="K114" s="272"/>
      <c r="L114" s="272"/>
      <c r="M114" s="272"/>
    </row>
    <row r="115" spans="8:13" ht="12.75">
      <c r="H115" s="272"/>
      <c r="I115" s="272"/>
      <c r="J115" s="272"/>
      <c r="K115" s="272"/>
      <c r="L115" s="272"/>
      <c r="M115" s="272"/>
    </row>
    <row r="116" spans="8:13" ht="12.75">
      <c r="H116" s="272"/>
      <c r="I116" s="272"/>
      <c r="J116" s="272"/>
      <c r="K116" s="272"/>
      <c r="L116" s="272"/>
      <c r="M116" s="272"/>
    </row>
    <row r="117" spans="8:13" ht="12.75">
      <c r="H117" s="272"/>
      <c r="I117" s="272"/>
      <c r="J117" s="272"/>
      <c r="K117" s="272"/>
      <c r="L117" s="272"/>
      <c r="M117" s="272"/>
    </row>
    <row r="118" spans="8:13" ht="12.75">
      <c r="H118" s="272"/>
      <c r="I118" s="272"/>
      <c r="J118" s="272"/>
      <c r="K118" s="272"/>
      <c r="L118" s="272"/>
      <c r="M118" s="272"/>
    </row>
    <row r="119" spans="8:13" ht="12.75">
      <c r="H119" s="272"/>
      <c r="I119" s="272"/>
      <c r="J119" s="272"/>
      <c r="K119" s="272"/>
      <c r="L119" s="272"/>
      <c r="M119" s="272"/>
    </row>
    <row r="120" spans="8:13" ht="12.75">
      <c r="H120" s="272"/>
      <c r="I120" s="272"/>
      <c r="J120" s="272"/>
      <c r="K120" s="272"/>
      <c r="L120" s="272"/>
      <c r="M120" s="272"/>
    </row>
    <row r="121" spans="8:13" ht="12.75">
      <c r="H121" s="272"/>
      <c r="I121" s="272"/>
      <c r="J121" s="272"/>
      <c r="K121" s="272"/>
      <c r="L121" s="272"/>
      <c r="M121" s="272"/>
    </row>
    <row r="122" spans="8:13" ht="12.75">
      <c r="H122" s="272"/>
      <c r="I122" s="272"/>
      <c r="J122" s="272"/>
      <c r="K122" s="272"/>
      <c r="L122" s="272"/>
      <c r="M122" s="272"/>
    </row>
    <row r="123" spans="8:13" ht="12.75">
      <c r="H123" s="272"/>
      <c r="I123" s="272"/>
      <c r="J123" s="272"/>
      <c r="K123" s="272"/>
      <c r="L123" s="272"/>
      <c r="M123" s="272"/>
    </row>
    <row r="124" spans="8:13" ht="12.75">
      <c r="H124" s="272"/>
      <c r="I124" s="272"/>
      <c r="J124" s="272"/>
      <c r="K124" s="272"/>
      <c r="L124" s="272"/>
      <c r="M124" s="272"/>
    </row>
    <row r="125" spans="8:13" ht="12.75">
      <c r="H125" s="272"/>
      <c r="I125" s="272"/>
      <c r="J125" s="272"/>
      <c r="K125" s="272"/>
      <c r="L125" s="272"/>
      <c r="M125" s="272"/>
    </row>
    <row r="126" spans="8:13" ht="12.75">
      <c r="H126" s="272"/>
      <c r="I126" s="272"/>
      <c r="J126" s="272"/>
      <c r="K126" s="272"/>
      <c r="L126" s="272"/>
      <c r="M126" s="272"/>
    </row>
    <row r="127" spans="8:13" ht="12.75">
      <c r="H127" s="272"/>
      <c r="I127" s="272"/>
      <c r="J127" s="272"/>
      <c r="K127" s="272"/>
      <c r="L127" s="272"/>
      <c r="M127" s="272"/>
    </row>
    <row r="128" spans="8:13" ht="12.75">
      <c r="H128" s="272"/>
      <c r="I128" s="272"/>
      <c r="J128" s="272"/>
      <c r="K128" s="272"/>
      <c r="L128" s="272"/>
      <c r="M128" s="272"/>
    </row>
    <row r="129" spans="8:13" ht="12.75">
      <c r="H129" s="272"/>
      <c r="I129" s="272"/>
      <c r="J129" s="272"/>
      <c r="K129" s="272"/>
      <c r="L129" s="272"/>
      <c r="M129" s="272"/>
    </row>
    <row r="130" spans="8:13" ht="12.75">
      <c r="H130" s="272"/>
      <c r="I130" s="272"/>
      <c r="J130" s="272"/>
      <c r="K130" s="272"/>
      <c r="L130" s="272"/>
      <c r="M130" s="272"/>
    </row>
    <row r="131" spans="8:13" ht="12.75">
      <c r="H131" s="272"/>
      <c r="I131" s="272"/>
      <c r="J131" s="272"/>
      <c r="K131" s="272"/>
      <c r="L131" s="272"/>
      <c r="M131" s="272"/>
    </row>
    <row r="132" spans="8:13" ht="12.75">
      <c r="H132" s="272"/>
      <c r="I132" s="272"/>
      <c r="J132" s="272"/>
      <c r="K132" s="272"/>
      <c r="L132" s="272"/>
      <c r="M132" s="272"/>
    </row>
    <row r="133" spans="8:13" ht="12.75">
      <c r="H133" s="272"/>
      <c r="I133" s="272"/>
      <c r="J133" s="272"/>
      <c r="K133" s="272"/>
      <c r="L133" s="272"/>
      <c r="M133" s="272"/>
    </row>
    <row r="134" spans="8:13" ht="12.75">
      <c r="H134" s="272"/>
      <c r="I134" s="272"/>
      <c r="J134" s="272"/>
      <c r="K134" s="272"/>
      <c r="L134" s="272"/>
      <c r="M134" s="272"/>
    </row>
    <row r="135" spans="8:13" ht="12.75">
      <c r="H135" s="272"/>
      <c r="I135" s="272"/>
      <c r="J135" s="272"/>
      <c r="K135" s="272"/>
      <c r="L135" s="272"/>
      <c r="M135" s="272"/>
    </row>
    <row r="136" spans="8:13" ht="12.75">
      <c r="H136" s="272"/>
      <c r="I136" s="272"/>
      <c r="J136" s="272"/>
      <c r="K136" s="272"/>
      <c r="L136" s="272"/>
      <c r="M136" s="272"/>
    </row>
    <row r="137" spans="8:13" ht="12.75">
      <c r="H137" s="272"/>
      <c r="I137" s="272"/>
      <c r="J137" s="272"/>
      <c r="K137" s="272"/>
      <c r="L137" s="272"/>
      <c r="M137" s="272"/>
    </row>
    <row r="138" spans="8:13" ht="12.75">
      <c r="H138" s="272"/>
      <c r="I138" s="272"/>
      <c r="J138" s="272"/>
      <c r="K138" s="272"/>
      <c r="L138" s="272"/>
      <c r="M138" s="272"/>
    </row>
    <row r="139" spans="8:13" ht="12.75">
      <c r="H139" s="272"/>
      <c r="I139" s="272"/>
      <c r="J139" s="272"/>
      <c r="K139" s="272"/>
      <c r="L139" s="272"/>
      <c r="M139" s="272"/>
    </row>
    <row r="140" spans="8:13" ht="12.75">
      <c r="H140" s="272"/>
      <c r="I140" s="272"/>
      <c r="J140" s="272"/>
      <c r="K140" s="272"/>
      <c r="L140" s="272"/>
      <c r="M140" s="272"/>
    </row>
    <row r="141" spans="8:13" ht="12.75">
      <c r="H141" s="272"/>
      <c r="I141" s="272"/>
      <c r="J141" s="272"/>
      <c r="K141" s="272"/>
      <c r="L141" s="272"/>
      <c r="M141" s="272"/>
    </row>
    <row r="142" spans="8:13" ht="12.75">
      <c r="H142" s="272"/>
      <c r="I142" s="272"/>
      <c r="J142" s="272"/>
      <c r="K142" s="272"/>
      <c r="L142" s="272"/>
      <c r="M142" s="272"/>
    </row>
    <row r="143" spans="8:13" ht="12.75">
      <c r="H143" s="272"/>
      <c r="I143" s="272"/>
      <c r="J143" s="272"/>
      <c r="K143" s="272"/>
      <c r="L143" s="272"/>
      <c r="M143" s="272"/>
    </row>
    <row r="144" spans="8:13" ht="12.75">
      <c r="H144" s="272"/>
      <c r="I144" s="272"/>
      <c r="J144" s="272"/>
      <c r="K144" s="272"/>
      <c r="L144" s="272"/>
      <c r="M144" s="272"/>
    </row>
    <row r="145" spans="8:13" ht="12.75">
      <c r="H145" s="272"/>
      <c r="I145" s="272"/>
      <c r="J145" s="272"/>
      <c r="K145" s="272"/>
      <c r="L145" s="272"/>
      <c r="M145" s="272"/>
    </row>
    <row r="146" spans="8:13" ht="12.75">
      <c r="H146" s="272"/>
      <c r="I146" s="272"/>
      <c r="J146" s="272"/>
      <c r="K146" s="272"/>
      <c r="L146" s="272"/>
      <c r="M146" s="272"/>
    </row>
    <row r="147" spans="8:13" ht="12.75">
      <c r="H147" s="272"/>
      <c r="I147" s="272"/>
      <c r="J147" s="272"/>
      <c r="K147" s="272"/>
      <c r="L147" s="272"/>
      <c r="M147" s="272"/>
    </row>
    <row r="148" spans="8:13" ht="12.75">
      <c r="H148" s="272"/>
      <c r="I148" s="272"/>
      <c r="J148" s="272"/>
      <c r="K148" s="272"/>
      <c r="L148" s="272"/>
      <c r="M148" s="272"/>
    </row>
    <row r="149" spans="8:13" ht="12.75">
      <c r="H149" s="272"/>
      <c r="I149" s="272"/>
      <c r="J149" s="272"/>
      <c r="K149" s="272"/>
      <c r="L149" s="272"/>
      <c r="M149" s="272"/>
    </row>
    <row r="150" spans="8:13" ht="12.75">
      <c r="H150" s="272"/>
      <c r="I150" s="272"/>
      <c r="J150" s="272"/>
      <c r="K150" s="272"/>
      <c r="L150" s="272"/>
      <c r="M150" s="272"/>
    </row>
    <row r="151" spans="8:13" ht="12.75">
      <c r="H151" s="272"/>
      <c r="I151" s="272"/>
      <c r="J151" s="272"/>
      <c r="K151" s="272"/>
      <c r="L151" s="272"/>
      <c r="M151" s="272"/>
    </row>
    <row r="152" spans="8:13" ht="12.75">
      <c r="H152" s="272"/>
      <c r="I152" s="272"/>
      <c r="J152" s="272"/>
      <c r="K152" s="272"/>
      <c r="L152" s="272"/>
      <c r="M152" s="272"/>
    </row>
    <row r="153" spans="8:13" ht="12.75">
      <c r="H153" s="272"/>
      <c r="I153" s="272"/>
      <c r="J153" s="272"/>
      <c r="K153" s="272"/>
      <c r="L153" s="272"/>
      <c r="M153" s="272"/>
    </row>
    <row r="154" spans="8:13" ht="12.75">
      <c r="H154" s="272"/>
      <c r="I154" s="272"/>
      <c r="J154" s="272"/>
      <c r="K154" s="272"/>
      <c r="L154" s="272"/>
      <c r="M154" s="272"/>
    </row>
    <row r="155" spans="8:13" ht="12.75">
      <c r="H155" s="272"/>
      <c r="I155" s="272"/>
      <c r="J155" s="272"/>
      <c r="K155" s="272"/>
      <c r="L155" s="272"/>
      <c r="M155" s="272"/>
    </row>
    <row r="156" spans="8:13" ht="12.75">
      <c r="H156" s="272"/>
      <c r="I156" s="272"/>
      <c r="J156" s="272"/>
      <c r="K156" s="272"/>
      <c r="L156" s="272"/>
      <c r="M156" s="272"/>
    </row>
    <row r="157" spans="8:13" ht="12.75">
      <c r="H157" s="272"/>
      <c r="I157" s="272"/>
      <c r="J157" s="272"/>
      <c r="K157" s="272"/>
      <c r="L157" s="272"/>
      <c r="M157" s="272"/>
    </row>
    <row r="158" spans="8:13" ht="12.75">
      <c r="H158" s="272"/>
      <c r="I158" s="272"/>
      <c r="J158" s="272"/>
      <c r="K158" s="272"/>
      <c r="L158" s="272"/>
      <c r="M158" s="272"/>
    </row>
    <row r="159" spans="8:13" ht="12.75">
      <c r="H159" s="272"/>
      <c r="I159" s="272"/>
      <c r="J159" s="272"/>
      <c r="K159" s="272"/>
      <c r="L159" s="272"/>
      <c r="M159" s="272"/>
    </row>
    <row r="160" spans="8:13" ht="12.75">
      <c r="H160" s="272"/>
      <c r="I160" s="272"/>
      <c r="J160" s="272"/>
      <c r="K160" s="272"/>
      <c r="L160" s="272"/>
      <c r="M160" s="272"/>
    </row>
    <row r="161" spans="8:13" ht="12.75">
      <c r="H161" s="272"/>
      <c r="I161" s="272"/>
      <c r="J161" s="272"/>
      <c r="K161" s="272"/>
      <c r="L161" s="272"/>
      <c r="M161" s="272"/>
    </row>
    <row r="162" spans="8:13" ht="12.75">
      <c r="H162" s="272"/>
      <c r="I162" s="272"/>
      <c r="J162" s="272"/>
      <c r="K162" s="272"/>
      <c r="L162" s="272"/>
      <c r="M162" s="272"/>
    </row>
    <row r="163" spans="8:13" ht="12.75">
      <c r="H163" s="272"/>
      <c r="I163" s="272"/>
      <c r="J163" s="272"/>
      <c r="K163" s="272"/>
      <c r="L163" s="272"/>
      <c r="M163" s="272"/>
    </row>
    <row r="164" spans="8:13" ht="12.75">
      <c r="H164" s="272"/>
      <c r="I164" s="272"/>
      <c r="J164" s="272"/>
      <c r="K164" s="272"/>
      <c r="L164" s="272"/>
      <c r="M164" s="272"/>
    </row>
    <row r="165" spans="8:13" ht="12.75">
      <c r="H165" s="272"/>
      <c r="I165" s="272"/>
      <c r="J165" s="272"/>
      <c r="K165" s="272"/>
      <c r="L165" s="272"/>
      <c r="M165" s="272"/>
    </row>
    <row r="166" spans="8:13" ht="12.75">
      <c r="H166" s="272"/>
      <c r="I166" s="272"/>
      <c r="J166" s="272"/>
      <c r="K166" s="272"/>
      <c r="L166" s="272"/>
      <c r="M166" s="272"/>
    </row>
    <row r="167" spans="8:13" ht="12.75">
      <c r="H167" s="272"/>
      <c r="I167" s="272"/>
      <c r="J167" s="272"/>
      <c r="K167" s="272"/>
      <c r="L167" s="272"/>
      <c r="M167" s="272"/>
    </row>
    <row r="168" spans="8:13" ht="12.75">
      <c r="H168" s="272"/>
      <c r="I168" s="272"/>
      <c r="J168" s="272"/>
      <c r="K168" s="272"/>
      <c r="L168" s="272"/>
      <c r="M168" s="272"/>
    </row>
    <row r="169" spans="8:13" ht="12.75">
      <c r="H169" s="272"/>
      <c r="I169" s="272"/>
      <c r="J169" s="272"/>
      <c r="K169" s="272"/>
      <c r="L169" s="272"/>
      <c r="M169" s="272"/>
    </row>
    <row r="170" spans="8:13" ht="12.75">
      <c r="H170" s="272"/>
      <c r="I170" s="272"/>
      <c r="J170" s="272"/>
      <c r="K170" s="272"/>
      <c r="L170" s="272"/>
      <c r="M170" s="272"/>
    </row>
    <row r="171" spans="8:13" ht="12.75">
      <c r="H171" s="272"/>
      <c r="I171" s="272"/>
      <c r="J171" s="272"/>
      <c r="K171" s="272"/>
      <c r="L171" s="272"/>
      <c r="M171" s="272"/>
    </row>
    <row r="172" spans="8:13" ht="12.75">
      <c r="H172" s="272"/>
      <c r="I172" s="272"/>
      <c r="J172" s="272"/>
      <c r="K172" s="272"/>
      <c r="L172" s="272"/>
      <c r="M172" s="272"/>
    </row>
    <row r="173" spans="8:13" ht="12.75">
      <c r="H173" s="272"/>
      <c r="I173" s="272"/>
      <c r="J173" s="272"/>
      <c r="K173" s="272"/>
      <c r="L173" s="272"/>
      <c r="M173" s="272"/>
    </row>
    <row r="174" spans="8:13" ht="12.75">
      <c r="H174" s="272"/>
      <c r="I174" s="272"/>
      <c r="J174" s="272"/>
      <c r="K174" s="272"/>
      <c r="L174" s="272"/>
      <c r="M174" s="272"/>
    </row>
    <row r="175" spans="8:13" ht="12.75">
      <c r="H175" s="272"/>
      <c r="I175" s="272"/>
      <c r="J175" s="272"/>
      <c r="K175" s="272"/>
      <c r="L175" s="272"/>
      <c r="M175" s="272"/>
    </row>
    <row r="176" spans="8:13" ht="12.75">
      <c r="H176" s="272"/>
      <c r="I176" s="272"/>
      <c r="J176" s="272"/>
      <c r="K176" s="272"/>
      <c r="L176" s="272"/>
      <c r="M176" s="272"/>
    </row>
    <row r="177" spans="8:13" ht="12.75">
      <c r="H177" s="272"/>
      <c r="I177" s="272"/>
      <c r="J177" s="272"/>
      <c r="K177" s="272"/>
      <c r="L177" s="272"/>
      <c r="M177" s="272"/>
    </row>
    <row r="178" spans="8:13" ht="12.75">
      <c r="H178" s="272"/>
      <c r="I178" s="272"/>
      <c r="J178" s="272"/>
      <c r="K178" s="272"/>
      <c r="L178" s="272"/>
      <c r="M178" s="272"/>
    </row>
    <row r="179" spans="8:13" ht="12.75">
      <c r="H179" s="272"/>
      <c r="I179" s="272"/>
      <c r="J179" s="272"/>
      <c r="K179" s="272"/>
      <c r="L179" s="272"/>
      <c r="M179" s="272"/>
    </row>
    <row r="180" spans="8:13" ht="12.75">
      <c r="H180" s="272"/>
      <c r="I180" s="272"/>
      <c r="J180" s="272"/>
      <c r="K180" s="272"/>
      <c r="L180" s="272"/>
      <c r="M180" s="272"/>
    </row>
    <row r="181" spans="8:13" ht="12.75">
      <c r="H181" s="272"/>
      <c r="I181" s="272"/>
      <c r="J181" s="272"/>
      <c r="K181" s="272"/>
      <c r="L181" s="272"/>
      <c r="M181" s="272"/>
    </row>
    <row r="182" spans="8:13" ht="12.75">
      <c r="H182" s="272"/>
      <c r="I182" s="272"/>
      <c r="J182" s="272"/>
      <c r="K182" s="272"/>
      <c r="L182" s="272"/>
      <c r="M182" s="272"/>
    </row>
    <row r="183" spans="8:13" ht="12.75">
      <c r="H183" s="272"/>
      <c r="I183" s="272"/>
      <c r="J183" s="272"/>
      <c r="K183" s="272"/>
      <c r="L183" s="272"/>
      <c r="M183" s="272"/>
    </row>
    <row r="184" spans="8:13" ht="12.75">
      <c r="H184" s="272"/>
      <c r="I184" s="272"/>
      <c r="J184" s="272"/>
      <c r="K184" s="272"/>
      <c r="L184" s="272"/>
      <c r="M184" s="272"/>
    </row>
    <row r="185" spans="8:13" ht="12.75">
      <c r="H185" s="272"/>
      <c r="I185" s="272"/>
      <c r="J185" s="272"/>
      <c r="K185" s="272"/>
      <c r="L185" s="272"/>
      <c r="M185" s="272"/>
    </row>
    <row r="186" spans="8:13" ht="12.75">
      <c r="H186" s="272"/>
      <c r="I186" s="272"/>
      <c r="J186" s="272"/>
      <c r="K186" s="272"/>
      <c r="L186" s="272"/>
      <c r="M186" s="272"/>
    </row>
    <row r="187" spans="8:13" ht="12.75">
      <c r="H187" s="272"/>
      <c r="I187" s="272"/>
      <c r="J187" s="272"/>
      <c r="K187" s="272"/>
      <c r="L187" s="272"/>
      <c r="M187" s="272"/>
    </row>
    <row r="188" spans="8:13" ht="12.75">
      <c r="H188" s="272"/>
      <c r="I188" s="272"/>
      <c r="J188" s="272"/>
      <c r="K188" s="272"/>
      <c r="L188" s="272"/>
      <c r="M188" s="272"/>
    </row>
    <row r="189" spans="8:13" ht="12.75">
      <c r="H189" s="272"/>
      <c r="I189" s="272"/>
      <c r="J189" s="272"/>
      <c r="K189" s="272"/>
      <c r="L189" s="272"/>
      <c r="M189" s="272"/>
    </row>
    <row r="190" spans="8:13" ht="12.75">
      <c r="H190" s="272"/>
      <c r="I190" s="272"/>
      <c r="J190" s="272"/>
      <c r="K190" s="272"/>
      <c r="L190" s="272"/>
      <c r="M190" s="272"/>
    </row>
    <row r="191" spans="8:13" ht="12.75">
      <c r="H191" s="272"/>
      <c r="I191" s="272"/>
      <c r="J191" s="272"/>
      <c r="K191" s="272"/>
      <c r="L191" s="272"/>
      <c r="M191" s="272"/>
    </row>
    <row r="192" spans="8:13" ht="12.75">
      <c r="H192" s="272"/>
      <c r="I192" s="272"/>
      <c r="J192" s="272"/>
      <c r="K192" s="272"/>
      <c r="L192" s="272"/>
      <c r="M192" s="272"/>
    </row>
    <row r="193" spans="8:13" ht="12.75">
      <c r="H193" s="272"/>
      <c r="I193" s="272"/>
      <c r="J193" s="272"/>
      <c r="K193" s="272"/>
      <c r="L193" s="272"/>
      <c r="M193" s="272"/>
    </row>
    <row r="194" spans="8:13" ht="12.75">
      <c r="H194" s="272"/>
      <c r="I194" s="272"/>
      <c r="J194" s="272"/>
      <c r="K194" s="272"/>
      <c r="L194" s="272"/>
      <c r="M194" s="272"/>
    </row>
    <row r="195" spans="8:13" ht="12.75">
      <c r="H195" s="272"/>
      <c r="I195" s="272"/>
      <c r="J195" s="272"/>
      <c r="K195" s="272"/>
      <c r="L195" s="272"/>
      <c r="M195" s="272"/>
    </row>
    <row r="196" spans="8:13" ht="12.75">
      <c r="H196" s="272"/>
      <c r="I196" s="272"/>
      <c r="J196" s="272"/>
      <c r="K196" s="272"/>
      <c r="L196" s="272"/>
      <c r="M196" s="272"/>
    </row>
    <row r="197" spans="8:13" ht="12.75">
      <c r="H197" s="272"/>
      <c r="I197" s="272"/>
      <c r="J197" s="272"/>
      <c r="K197" s="272"/>
      <c r="L197" s="272"/>
      <c r="M197" s="272"/>
    </row>
    <row r="198" spans="8:13" ht="12.75">
      <c r="H198" s="272"/>
      <c r="I198" s="272"/>
      <c r="J198" s="272"/>
      <c r="K198" s="272"/>
      <c r="L198" s="272"/>
      <c r="M198" s="272"/>
    </row>
    <row r="199" spans="8:13" ht="12.75">
      <c r="H199" s="272"/>
      <c r="I199" s="272"/>
      <c r="J199" s="272"/>
      <c r="K199" s="272"/>
      <c r="L199" s="272"/>
      <c r="M199" s="272"/>
    </row>
    <row r="200" spans="8:13" ht="12.75">
      <c r="H200" s="272"/>
      <c r="I200" s="272"/>
      <c r="J200" s="272"/>
      <c r="K200" s="272"/>
      <c r="L200" s="272"/>
      <c r="M200" s="272"/>
    </row>
    <row r="201" spans="8:13" ht="12.75">
      <c r="H201" s="272"/>
      <c r="I201" s="272"/>
      <c r="J201" s="272"/>
      <c r="K201" s="272"/>
      <c r="L201" s="272"/>
      <c r="M201" s="272"/>
    </row>
    <row r="202" spans="8:13" ht="12.75">
      <c r="H202" s="272"/>
      <c r="I202" s="272"/>
      <c r="J202" s="272"/>
      <c r="K202" s="272"/>
      <c r="L202" s="272"/>
      <c r="M202" s="272"/>
    </row>
    <row r="203" spans="8:13" ht="12.75">
      <c r="H203" s="272"/>
      <c r="I203" s="272"/>
      <c r="J203" s="272"/>
      <c r="K203" s="272"/>
      <c r="L203" s="272"/>
      <c r="M203" s="272"/>
    </row>
    <row r="204" spans="8:13" ht="12.75">
      <c r="H204" s="272"/>
      <c r="I204" s="272"/>
      <c r="J204" s="272"/>
      <c r="K204" s="272"/>
      <c r="L204" s="272"/>
      <c r="M204" s="272"/>
    </row>
    <row r="205" spans="8:13" ht="12.75">
      <c r="H205" s="272"/>
      <c r="I205" s="272"/>
      <c r="J205" s="272"/>
      <c r="K205" s="272"/>
      <c r="L205" s="272"/>
      <c r="M205" s="272"/>
    </row>
    <row r="206" spans="8:13" ht="12.75">
      <c r="H206" s="272"/>
      <c r="I206" s="272"/>
      <c r="J206" s="272"/>
      <c r="K206" s="272"/>
      <c r="L206" s="272"/>
      <c r="M206" s="272"/>
    </row>
    <row r="207" spans="8:13" ht="12.75">
      <c r="H207" s="272"/>
      <c r="I207" s="272"/>
      <c r="J207" s="272"/>
      <c r="K207" s="272"/>
      <c r="L207" s="272"/>
      <c r="M207" s="272"/>
    </row>
    <row r="208" spans="8:13" ht="12.75">
      <c r="H208" s="272"/>
      <c r="I208" s="272"/>
      <c r="J208" s="272"/>
      <c r="K208" s="272"/>
      <c r="L208" s="272"/>
      <c r="M208" s="272"/>
    </row>
    <row r="209" spans="8:13" ht="12.75">
      <c r="H209" s="272"/>
      <c r="I209" s="272"/>
      <c r="J209" s="272"/>
      <c r="K209" s="272"/>
      <c r="L209" s="272"/>
      <c r="M209" s="272"/>
    </row>
    <row r="210" spans="8:13" ht="12.75">
      <c r="H210" s="272"/>
      <c r="I210" s="272"/>
      <c r="J210" s="272"/>
      <c r="K210" s="272"/>
      <c r="L210" s="272"/>
      <c r="M210" s="272"/>
    </row>
    <row r="211" spans="8:13" ht="12.75">
      <c r="H211" s="272"/>
      <c r="I211" s="272"/>
      <c r="J211" s="272"/>
      <c r="K211" s="272"/>
      <c r="L211" s="272"/>
      <c r="M211" s="272"/>
    </row>
    <row r="212" spans="8:13" ht="12.75">
      <c r="H212" s="272"/>
      <c r="I212" s="272"/>
      <c r="J212" s="272"/>
      <c r="K212" s="272"/>
      <c r="L212" s="272"/>
      <c r="M212" s="272"/>
    </row>
    <row r="213" spans="8:13" ht="12.75">
      <c r="H213" s="272"/>
      <c r="I213" s="272"/>
      <c r="J213" s="272"/>
      <c r="K213" s="272"/>
      <c r="L213" s="272"/>
      <c r="M213" s="272"/>
    </row>
    <row r="214" spans="8:13" ht="12.75">
      <c r="H214" s="272"/>
      <c r="I214" s="272"/>
      <c r="J214" s="272"/>
      <c r="K214" s="272"/>
      <c r="L214" s="272"/>
      <c r="M214" s="272"/>
    </row>
    <row r="215" spans="8:13" ht="12.75">
      <c r="H215" s="272"/>
      <c r="I215" s="272"/>
      <c r="J215" s="272"/>
      <c r="K215" s="272"/>
      <c r="L215" s="272"/>
      <c r="M215" s="272"/>
    </row>
    <row r="216" spans="8:13" ht="12.75">
      <c r="H216" s="272"/>
      <c r="I216" s="272"/>
      <c r="J216" s="272"/>
      <c r="K216" s="272"/>
      <c r="L216" s="272"/>
      <c r="M216" s="272"/>
    </row>
    <row r="217" spans="8:13" ht="12.75">
      <c r="H217" s="272"/>
      <c r="I217" s="272"/>
      <c r="J217" s="272"/>
      <c r="K217" s="272"/>
      <c r="L217" s="272"/>
      <c r="M217" s="272"/>
    </row>
    <row r="218" spans="8:13" ht="12.75">
      <c r="H218" s="272"/>
      <c r="I218" s="272"/>
      <c r="J218" s="272"/>
      <c r="K218" s="272"/>
      <c r="L218" s="272"/>
      <c r="M218" s="272"/>
    </row>
    <row r="219" spans="8:13" ht="12.75">
      <c r="H219" s="272"/>
      <c r="I219" s="272"/>
      <c r="J219" s="272"/>
      <c r="K219" s="272"/>
      <c r="L219" s="272"/>
      <c r="M219" s="272"/>
    </row>
    <row r="220" spans="8:13" ht="12.75">
      <c r="H220" s="272"/>
      <c r="I220" s="272"/>
      <c r="J220" s="272"/>
      <c r="K220" s="272"/>
      <c r="L220" s="272"/>
      <c r="M220" s="272"/>
    </row>
    <row r="221" spans="8:13" ht="12.75">
      <c r="H221" s="272"/>
      <c r="I221" s="272"/>
      <c r="J221" s="272"/>
      <c r="K221" s="272"/>
      <c r="L221" s="272"/>
      <c r="M221" s="272"/>
    </row>
    <row r="222" spans="8:13" ht="12.75">
      <c r="H222" s="272"/>
      <c r="I222" s="272"/>
      <c r="J222" s="272"/>
      <c r="K222" s="272"/>
      <c r="L222" s="272"/>
      <c r="M222" s="272"/>
    </row>
    <row r="223" spans="8:13" ht="12.75">
      <c r="H223" s="272"/>
      <c r="I223" s="272"/>
      <c r="J223" s="272"/>
      <c r="K223" s="272"/>
      <c r="L223" s="272"/>
      <c r="M223" s="272"/>
    </row>
    <row r="224" spans="8:13" ht="12.75">
      <c r="H224" s="272"/>
      <c r="I224" s="272"/>
      <c r="J224" s="272"/>
      <c r="K224" s="272"/>
      <c r="L224" s="272"/>
      <c r="M224" s="272"/>
    </row>
    <row r="225" spans="8:13" ht="12.75">
      <c r="H225" s="272"/>
      <c r="I225" s="272"/>
      <c r="J225" s="272"/>
      <c r="K225" s="272"/>
      <c r="L225" s="272"/>
      <c r="M225" s="272"/>
    </row>
    <row r="226" spans="8:13" ht="12.75">
      <c r="H226" s="272"/>
      <c r="I226" s="272"/>
      <c r="J226" s="272"/>
      <c r="K226" s="272"/>
      <c r="L226" s="272"/>
      <c r="M226" s="272"/>
    </row>
    <row r="227" spans="8:13" ht="12.75">
      <c r="H227" s="272"/>
      <c r="I227" s="272"/>
      <c r="J227" s="272"/>
      <c r="K227" s="272"/>
      <c r="L227" s="272"/>
      <c r="M227" s="272"/>
    </row>
    <row r="228" spans="8:13" ht="12.75">
      <c r="H228" s="272"/>
      <c r="I228" s="272"/>
      <c r="J228" s="272"/>
      <c r="K228" s="272"/>
      <c r="L228" s="272"/>
      <c r="M228" s="272"/>
    </row>
    <row r="229" spans="8:13" ht="12.75">
      <c r="H229" s="272"/>
      <c r="I229" s="272"/>
      <c r="J229" s="272"/>
      <c r="K229" s="272"/>
      <c r="L229" s="272"/>
      <c r="M229" s="272"/>
    </row>
    <row r="230" spans="8:13" ht="12.75">
      <c r="H230" s="272"/>
      <c r="I230" s="272"/>
      <c r="J230" s="272"/>
      <c r="K230" s="272"/>
      <c r="L230" s="272"/>
      <c r="M230" s="272"/>
    </row>
    <row r="231" spans="8:13" ht="12.75">
      <c r="H231" s="272"/>
      <c r="I231" s="272"/>
      <c r="J231" s="272"/>
      <c r="K231" s="272"/>
      <c r="L231" s="272"/>
      <c r="M231" s="272"/>
    </row>
    <row r="232" spans="8:13" ht="12.75">
      <c r="H232" s="272"/>
      <c r="I232" s="272"/>
      <c r="J232" s="272"/>
      <c r="K232" s="272"/>
      <c r="L232" s="272"/>
      <c r="M232" s="272"/>
    </row>
    <row r="233" spans="8:13" ht="12.75">
      <c r="H233" s="272"/>
      <c r="I233" s="272"/>
      <c r="J233" s="272"/>
      <c r="K233" s="272"/>
      <c r="L233" s="272"/>
      <c r="M233" s="272"/>
    </row>
    <row r="234" spans="8:13" ht="12.75">
      <c r="H234" s="272"/>
      <c r="I234" s="272"/>
      <c r="J234" s="272"/>
      <c r="K234" s="272"/>
      <c r="L234" s="272"/>
      <c r="M234" s="272"/>
    </row>
    <row r="235" spans="8:13" ht="12.75">
      <c r="H235" s="272"/>
      <c r="I235" s="272"/>
      <c r="J235" s="272"/>
      <c r="K235" s="272"/>
      <c r="L235" s="272"/>
      <c r="M235" s="272"/>
    </row>
    <row r="236" spans="8:13" ht="12.75">
      <c r="H236" s="272"/>
      <c r="I236" s="272"/>
      <c r="J236" s="272"/>
      <c r="K236" s="272"/>
      <c r="L236" s="272"/>
      <c r="M236" s="272"/>
    </row>
    <row r="237" spans="8:13" ht="12.75">
      <c r="H237" s="272"/>
      <c r="I237" s="272"/>
      <c r="J237" s="272"/>
      <c r="K237" s="272"/>
      <c r="L237" s="272"/>
      <c r="M237" s="272"/>
    </row>
    <row r="238" spans="8:13" ht="12.75">
      <c r="H238" s="272"/>
      <c r="I238" s="272"/>
      <c r="J238" s="272"/>
      <c r="K238" s="272"/>
      <c r="L238" s="272"/>
      <c r="M238" s="272"/>
    </row>
    <row r="239" spans="8:13" ht="12.75">
      <c r="H239" s="272"/>
      <c r="I239" s="272"/>
      <c r="J239" s="272"/>
      <c r="K239" s="272"/>
      <c r="L239" s="272"/>
      <c r="M239" s="272"/>
    </row>
    <row r="240" spans="8:13" ht="12.75">
      <c r="H240" s="272"/>
      <c r="I240" s="272"/>
      <c r="J240" s="272"/>
      <c r="K240" s="272"/>
      <c r="L240" s="272"/>
      <c r="M240" s="272"/>
    </row>
    <row r="241" spans="8:13" ht="12.75">
      <c r="H241" s="272"/>
      <c r="I241" s="272"/>
      <c r="J241" s="272"/>
      <c r="K241" s="272"/>
      <c r="L241" s="272"/>
      <c r="M241" s="272"/>
    </row>
    <row r="242" spans="8:13" ht="12.75">
      <c r="H242" s="272"/>
      <c r="I242" s="272"/>
      <c r="J242" s="272"/>
      <c r="K242" s="272"/>
      <c r="L242" s="272"/>
      <c r="M242" s="272"/>
    </row>
    <row r="243" spans="8:13" ht="12.75">
      <c r="H243" s="272"/>
      <c r="I243" s="272"/>
      <c r="J243" s="272"/>
      <c r="K243" s="272"/>
      <c r="L243" s="272"/>
      <c r="M243" s="272"/>
    </row>
    <row r="244" spans="8:13" ht="12.75">
      <c r="H244" s="272"/>
      <c r="I244" s="272"/>
      <c r="J244" s="272"/>
      <c r="K244" s="272"/>
      <c r="L244" s="272"/>
      <c r="M244" s="272"/>
    </row>
    <row r="245" spans="8:13" ht="12.75">
      <c r="H245" s="272"/>
      <c r="I245" s="272"/>
      <c r="J245" s="272"/>
      <c r="K245" s="272"/>
      <c r="L245" s="272"/>
      <c r="M245" s="272"/>
    </row>
    <row r="246" spans="8:13" ht="12.75">
      <c r="H246" s="272"/>
      <c r="I246" s="272"/>
      <c r="J246" s="272"/>
      <c r="K246" s="272"/>
      <c r="L246" s="272"/>
      <c r="M246" s="272"/>
    </row>
    <row r="247" spans="8:13" ht="12.75">
      <c r="H247" s="272"/>
      <c r="I247" s="272"/>
      <c r="J247" s="272"/>
      <c r="K247" s="272"/>
      <c r="L247" s="272"/>
      <c r="M247" s="272"/>
    </row>
  </sheetData>
  <sheetProtection/>
  <mergeCells count="65">
    <mergeCell ref="A35:G35"/>
    <mergeCell ref="C1:F3"/>
    <mergeCell ref="A4:G4"/>
    <mergeCell ref="A5:G5"/>
    <mergeCell ref="A6:G6"/>
    <mergeCell ref="E7:G8"/>
    <mergeCell ref="A14:G14"/>
    <mergeCell ref="A26:G26"/>
    <mergeCell ref="A28:A30"/>
    <mergeCell ref="B28:B30"/>
    <mergeCell ref="C28:C30"/>
    <mergeCell ref="D28:D30"/>
    <mergeCell ref="E28:G29"/>
    <mergeCell ref="H28:J29"/>
    <mergeCell ref="K28:M29"/>
    <mergeCell ref="A27:G27"/>
    <mergeCell ref="E24:G24"/>
    <mergeCell ref="H24:J24"/>
    <mergeCell ref="K24:M24"/>
    <mergeCell ref="E23:G23"/>
    <mergeCell ref="H23:J23"/>
    <mergeCell ref="K23:M23"/>
    <mergeCell ref="E22:G22"/>
    <mergeCell ref="H22:J22"/>
    <mergeCell ref="K22:M22"/>
    <mergeCell ref="E21:G21"/>
    <mergeCell ref="H21:J21"/>
    <mergeCell ref="K21:M21"/>
    <mergeCell ref="C18:C24"/>
    <mergeCell ref="E18:G18"/>
    <mergeCell ref="H18:J18"/>
    <mergeCell ref="K18:M18"/>
    <mergeCell ref="E20:G20"/>
    <mergeCell ref="H20:J20"/>
    <mergeCell ref="K20:M20"/>
    <mergeCell ref="E19:G19"/>
    <mergeCell ref="H19:J19"/>
    <mergeCell ref="K19:M19"/>
    <mergeCell ref="E17:G17"/>
    <mergeCell ref="H17:J17"/>
    <mergeCell ref="K17:M17"/>
    <mergeCell ref="H15:J15"/>
    <mergeCell ref="K15:M15"/>
    <mergeCell ref="H16:J16"/>
    <mergeCell ref="H7:J7"/>
    <mergeCell ref="K7:M7"/>
    <mergeCell ref="A15:A17"/>
    <mergeCell ref="B15:B17"/>
    <mergeCell ref="C15:C17"/>
    <mergeCell ref="D15:D17"/>
    <mergeCell ref="E15:G16"/>
    <mergeCell ref="H8:J8"/>
    <mergeCell ref="K8:M8"/>
    <mergeCell ref="K16:M16"/>
    <mergeCell ref="A7:A9"/>
    <mergeCell ref="B7:B9"/>
    <mergeCell ref="C7:C9"/>
    <mergeCell ref="D7:D9"/>
    <mergeCell ref="K36:M36"/>
    <mergeCell ref="A36:A37"/>
    <mergeCell ref="B36:B37"/>
    <mergeCell ref="C36:C37"/>
    <mergeCell ref="D36:D37"/>
    <mergeCell ref="E36:G36"/>
    <mergeCell ref="H36:J36"/>
  </mergeCells>
  <printOptions/>
  <pageMargins left="0.15748031496062992" right="0.2362204724409449" top="0.2755905511811024" bottom="0.4330708661417323" header="0.15748031496062992" footer="0.31496062992125984"/>
  <pageSetup fitToHeight="1" fitToWidth="1" horizontalDpi="600" verticalDpi="600" orientation="landscape" paperSize="9" scale="44" r:id="rId2"/>
  <headerFooter>
    <oddHeader>&amp;LДествителен с 02.08.2012</oddHeader>
    <oddFooter>&amp;C&amp;F&amp;A&amp;R&amp;D</oddFooter>
  </headerFooter>
  <ignoredErrors>
    <ignoredError sqref="G1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R56"/>
  <sheetViews>
    <sheetView zoomScale="70" zoomScaleNormal="70" zoomScalePageLayoutView="0" workbookViewId="0" topLeftCell="A1">
      <selection activeCell="E46" sqref="E46:G47"/>
    </sheetView>
  </sheetViews>
  <sheetFormatPr defaultColWidth="9.00390625" defaultRowHeight="12.75"/>
  <cols>
    <col min="1" max="1" width="21.25390625" style="0" customWidth="1"/>
    <col min="2" max="2" width="49.75390625" style="0" customWidth="1"/>
    <col min="3" max="3" width="27.375" style="0" customWidth="1"/>
    <col min="4" max="4" width="23.875" style="0" customWidth="1"/>
    <col min="5" max="5" width="12.875" style="0" customWidth="1"/>
    <col min="6" max="6" width="2.875" style="0" customWidth="1"/>
    <col min="7" max="7" width="15.375" style="0" customWidth="1"/>
    <col min="8" max="8" width="15.75390625" style="0" customWidth="1"/>
    <col min="9" max="9" width="3.25390625" style="0" customWidth="1"/>
    <col min="10" max="10" width="13.875" style="0" customWidth="1"/>
    <col min="11" max="11" width="15.25390625" style="0" customWidth="1"/>
    <col min="12" max="12" width="3.375" style="0" customWidth="1"/>
    <col min="13" max="13" width="14.625" style="0" customWidth="1"/>
    <col min="14" max="19" width="0" style="0" hidden="1" customWidth="1"/>
  </cols>
  <sheetData>
    <row r="1" spans="1:14" ht="15">
      <c r="A1" s="7"/>
      <c r="B1" s="175"/>
      <c r="C1" s="2380" t="s">
        <v>1241</v>
      </c>
      <c r="D1" s="2380"/>
      <c r="E1" s="2380"/>
      <c r="F1" s="2380"/>
      <c r="G1" s="82"/>
      <c r="H1" s="82"/>
      <c r="I1" s="82"/>
      <c r="J1" s="82"/>
      <c r="K1" s="82"/>
      <c r="L1" s="82"/>
      <c r="M1" s="82"/>
      <c r="N1" s="8"/>
    </row>
    <row r="2" spans="1:14" ht="15">
      <c r="A2" s="7"/>
      <c r="B2" s="176"/>
      <c r="C2" s="2380"/>
      <c r="D2" s="2380"/>
      <c r="E2" s="2380"/>
      <c r="F2" s="2380"/>
      <c r="G2" s="170"/>
      <c r="H2" s="83"/>
      <c r="I2" s="83"/>
      <c r="J2" s="83"/>
      <c r="K2" s="83"/>
      <c r="L2" s="83"/>
      <c r="M2" s="83"/>
      <c r="N2" s="8"/>
    </row>
    <row r="3" spans="1:14" ht="12.75">
      <c r="A3" s="7"/>
      <c r="B3" s="175"/>
      <c r="C3" s="2380"/>
      <c r="D3" s="2380"/>
      <c r="E3" s="2380"/>
      <c r="F3" s="2380"/>
      <c r="G3" s="8"/>
      <c r="H3" s="8"/>
      <c r="I3" s="8"/>
      <c r="J3" s="8"/>
      <c r="K3" s="8"/>
      <c r="L3" s="8"/>
      <c r="M3" s="8"/>
      <c r="N3" s="8"/>
    </row>
    <row r="4" spans="1:13" ht="20.25">
      <c r="A4" s="1977" t="s">
        <v>326</v>
      </c>
      <c r="B4" s="1977"/>
      <c r="C4" s="1977"/>
      <c r="D4" s="1977"/>
      <c r="E4" s="1977"/>
      <c r="F4" s="1977"/>
      <c r="G4" s="1977"/>
      <c r="H4" s="2383"/>
      <c r="I4" s="2383"/>
      <c r="J4" s="2383"/>
      <c r="K4" s="2383"/>
      <c r="L4" s="2383"/>
      <c r="M4" s="2383"/>
    </row>
    <row r="5" spans="1:14" ht="20.25" customHeight="1">
      <c r="A5" s="2049" t="s">
        <v>333</v>
      </c>
      <c r="B5" s="2049"/>
      <c r="C5" s="2049"/>
      <c r="D5" s="2049"/>
      <c r="E5" s="2049"/>
      <c r="F5" s="2049"/>
      <c r="G5" s="2049"/>
      <c r="H5" s="2434"/>
      <c r="I5" s="2434"/>
      <c r="J5" s="2434"/>
      <c r="K5" s="2434"/>
      <c r="L5" s="2434"/>
      <c r="M5" s="2434"/>
      <c r="N5" s="3"/>
    </row>
    <row r="6" spans="1:14" ht="27.75" customHeight="1">
      <c r="A6" s="2050" t="s">
        <v>334</v>
      </c>
      <c r="B6" s="2050"/>
      <c r="C6" s="2050"/>
      <c r="D6" s="2050"/>
      <c r="E6" s="2050"/>
      <c r="F6" s="2050"/>
      <c r="G6" s="2050"/>
      <c r="H6" s="2050"/>
      <c r="I6" s="2050"/>
      <c r="J6" s="2050"/>
      <c r="K6" s="2050"/>
      <c r="L6" s="2050"/>
      <c r="M6" s="2050"/>
      <c r="N6" s="3"/>
    </row>
    <row r="7" spans="1:14" ht="6.75" customHeight="1" thickBo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3"/>
    </row>
    <row r="8" spans="1:13" s="38" customFormat="1" ht="15.75" customHeight="1">
      <c r="A8" s="1637" t="s">
        <v>0</v>
      </c>
      <c r="B8" s="1979" t="s">
        <v>1</v>
      </c>
      <c r="C8" s="2052" t="s">
        <v>335</v>
      </c>
      <c r="D8" s="2052" t="s">
        <v>61</v>
      </c>
      <c r="E8" s="2054" t="s">
        <v>1239</v>
      </c>
      <c r="F8" s="2055"/>
      <c r="G8" s="2435"/>
      <c r="H8" s="2393"/>
      <c r="I8" s="2387"/>
      <c r="J8" s="2387"/>
      <c r="K8" s="2438"/>
      <c r="L8" s="2438"/>
      <c r="M8" s="2438"/>
    </row>
    <row r="9" spans="1:13" s="38" customFormat="1" ht="16.5" thickBot="1">
      <c r="A9" s="1660"/>
      <c r="B9" s="2051"/>
      <c r="C9" s="2053"/>
      <c r="D9" s="2053"/>
      <c r="E9" s="2047" t="s">
        <v>4</v>
      </c>
      <c r="F9" s="2048"/>
      <c r="G9" s="2048"/>
      <c r="H9" s="2393"/>
      <c r="I9" s="2387"/>
      <c r="J9" s="2387"/>
      <c r="K9" s="2387"/>
      <c r="L9" s="2387"/>
      <c r="M9" s="2387"/>
    </row>
    <row r="10" spans="1:13" s="288" customFormat="1" ht="24.75" customHeight="1" thickBot="1">
      <c r="A10" s="416" t="s">
        <v>515</v>
      </c>
      <c r="B10" s="417" t="s">
        <v>337</v>
      </c>
      <c r="C10" s="580" t="s">
        <v>726</v>
      </c>
      <c r="D10" s="2040" t="s">
        <v>516</v>
      </c>
      <c r="E10" s="2034">
        <f>138.38*1.03+0.84*2.6</f>
        <v>144.7154</v>
      </c>
      <c r="F10" s="2035"/>
      <c r="G10" s="2436"/>
      <c r="H10" s="2440"/>
      <c r="I10" s="2439"/>
      <c r="J10" s="2439"/>
      <c r="K10" s="2439"/>
      <c r="L10" s="2439"/>
      <c r="M10" s="2439"/>
    </row>
    <row r="11" spans="1:13" s="288" customFormat="1" ht="24.75" customHeight="1" thickBot="1">
      <c r="A11" s="418" t="s">
        <v>517</v>
      </c>
      <c r="B11" s="419" t="s">
        <v>337</v>
      </c>
      <c r="C11" s="593" t="s">
        <v>727</v>
      </c>
      <c r="D11" s="2041"/>
      <c r="E11" s="2034">
        <f>242.5*1.03+1.73*2.6</f>
        <v>254.273</v>
      </c>
      <c r="F11" s="2035"/>
      <c r="G11" s="2436"/>
      <c r="H11" s="2440"/>
      <c r="I11" s="2439"/>
      <c r="J11" s="2439"/>
      <c r="K11" s="2439"/>
      <c r="L11" s="2439"/>
      <c r="M11" s="2439"/>
    </row>
    <row r="12" spans="1:13" s="288" customFormat="1" ht="24.75" customHeight="1" thickBot="1">
      <c r="A12" s="418" t="s">
        <v>518</v>
      </c>
      <c r="B12" s="419" t="s">
        <v>337</v>
      </c>
      <c r="C12" s="593" t="s">
        <v>728</v>
      </c>
      <c r="D12" s="2041"/>
      <c r="E12" s="2034">
        <f>390.15*1.03+2.59*2.6</f>
        <v>408.58849999999995</v>
      </c>
      <c r="F12" s="2035"/>
      <c r="G12" s="2436"/>
      <c r="H12" s="2440"/>
      <c r="I12" s="2439"/>
      <c r="J12" s="2439"/>
      <c r="K12" s="2439"/>
      <c r="L12" s="2439"/>
      <c r="M12" s="2439"/>
    </row>
    <row r="13" spans="1:13" s="288" customFormat="1" ht="24.75" customHeight="1" thickBot="1">
      <c r="A13" s="420" t="s">
        <v>519</v>
      </c>
      <c r="B13" s="421" t="s">
        <v>337</v>
      </c>
      <c r="C13" s="594" t="s">
        <v>729</v>
      </c>
      <c r="D13" s="2042"/>
      <c r="E13" s="2034">
        <f>444*1.03+3.46*2.6</f>
        <v>466.316</v>
      </c>
      <c r="F13" s="2035"/>
      <c r="G13" s="2436"/>
      <c r="H13" s="2440"/>
      <c r="I13" s="2439"/>
      <c r="J13" s="2439"/>
      <c r="K13" s="2439"/>
      <c r="L13" s="2439"/>
      <c r="M13" s="2439"/>
    </row>
    <row r="14" spans="1:13" s="288" customFormat="1" ht="24.75" customHeight="1" thickBot="1">
      <c r="A14" s="416" t="s">
        <v>336</v>
      </c>
      <c r="B14" s="417" t="s">
        <v>337</v>
      </c>
      <c r="C14" s="595" t="s">
        <v>730</v>
      </c>
      <c r="D14" s="2040" t="s">
        <v>610</v>
      </c>
      <c r="E14" s="2034">
        <f>91.5*1.03+0.65*2.6</f>
        <v>95.935</v>
      </c>
      <c r="F14" s="2035"/>
      <c r="G14" s="2436"/>
      <c r="H14" s="2440"/>
      <c r="I14" s="2439"/>
      <c r="J14" s="2439"/>
      <c r="K14" s="2439"/>
      <c r="L14" s="2439"/>
      <c r="M14" s="2439"/>
    </row>
    <row r="15" spans="1:13" s="288" customFormat="1" ht="24.75" customHeight="1" thickBot="1">
      <c r="A15" s="418" t="s">
        <v>338</v>
      </c>
      <c r="B15" s="419" t="s">
        <v>337</v>
      </c>
      <c r="C15" s="596" t="s">
        <v>731</v>
      </c>
      <c r="D15" s="2041"/>
      <c r="E15" s="2034">
        <f>151*1.03+1.27*2.6</f>
        <v>158.832</v>
      </c>
      <c r="F15" s="2035"/>
      <c r="G15" s="2436"/>
      <c r="H15" s="2440"/>
      <c r="I15" s="2439"/>
      <c r="J15" s="2439"/>
      <c r="K15" s="2439"/>
      <c r="L15" s="2439"/>
      <c r="M15" s="2439"/>
    </row>
    <row r="16" spans="1:13" s="288" customFormat="1" ht="24.75" customHeight="1" thickBot="1">
      <c r="A16" s="418" t="s">
        <v>339</v>
      </c>
      <c r="B16" s="419" t="s">
        <v>337</v>
      </c>
      <c r="C16" s="596" t="s">
        <v>732</v>
      </c>
      <c r="D16" s="2041"/>
      <c r="E16" s="2034">
        <f>217.5*1.03+1.88*2.6</f>
        <v>228.913</v>
      </c>
      <c r="F16" s="2035"/>
      <c r="G16" s="2436"/>
      <c r="H16" s="2440"/>
      <c r="I16" s="2439"/>
      <c r="J16" s="2439"/>
      <c r="K16" s="2439"/>
      <c r="L16" s="2439"/>
      <c r="M16" s="2439"/>
    </row>
    <row r="17" spans="1:13" s="288" customFormat="1" ht="24.75" customHeight="1" thickBot="1">
      <c r="A17" s="420" t="s">
        <v>340</v>
      </c>
      <c r="B17" s="421" t="s">
        <v>337</v>
      </c>
      <c r="C17" s="597" t="s">
        <v>733</v>
      </c>
      <c r="D17" s="2042"/>
      <c r="E17" s="2034">
        <f>280.8*1.03+2.55*2.6</f>
        <v>295.85400000000004</v>
      </c>
      <c r="F17" s="2035"/>
      <c r="G17" s="2436"/>
      <c r="H17" s="2440"/>
      <c r="I17" s="2439"/>
      <c r="J17" s="2439"/>
      <c r="K17" s="2439"/>
      <c r="L17" s="2439"/>
      <c r="M17" s="2439"/>
    </row>
    <row r="18" spans="1:13" s="288" customFormat="1" ht="24.75" customHeight="1" thickBot="1">
      <c r="A18" s="416" t="s">
        <v>517</v>
      </c>
      <c r="B18" s="417" t="s">
        <v>337</v>
      </c>
      <c r="C18" s="598" t="s">
        <v>734</v>
      </c>
      <c r="D18" s="1627" t="s">
        <v>520</v>
      </c>
      <c r="E18" s="2034">
        <f>111.35*1.03+0.77*2.6</f>
        <v>116.6925</v>
      </c>
      <c r="F18" s="2035"/>
      <c r="G18" s="2436"/>
      <c r="H18" s="2440"/>
      <c r="I18" s="2439"/>
      <c r="J18" s="2439"/>
      <c r="K18" s="2439"/>
      <c r="L18" s="2439"/>
      <c r="M18" s="2439"/>
    </row>
    <row r="19" spans="1:13" s="288" customFormat="1" ht="24.75" customHeight="1" thickBot="1">
      <c r="A19" s="422" t="s">
        <v>518</v>
      </c>
      <c r="B19" s="419" t="s">
        <v>337</v>
      </c>
      <c r="C19" s="599" t="s">
        <v>735</v>
      </c>
      <c r="D19" s="1628"/>
      <c r="E19" s="2034">
        <f>159*1.03+1.32*2.6</f>
        <v>167.202</v>
      </c>
      <c r="F19" s="2035"/>
      <c r="G19" s="2436"/>
      <c r="H19" s="2440"/>
      <c r="I19" s="2439"/>
      <c r="J19" s="2439"/>
      <c r="K19" s="2439"/>
      <c r="L19" s="2439"/>
      <c r="M19" s="2439"/>
    </row>
    <row r="20" spans="1:13" s="288" customFormat="1" ht="25.5" customHeight="1" thickBot="1">
      <c r="A20" s="420" t="s">
        <v>519</v>
      </c>
      <c r="B20" s="421" t="s">
        <v>337</v>
      </c>
      <c r="C20" s="597" t="s">
        <v>736</v>
      </c>
      <c r="D20" s="2036"/>
      <c r="E20" s="2034">
        <f>202.2*1.03+1.72*2.6</f>
        <v>212.738</v>
      </c>
      <c r="F20" s="2035"/>
      <c r="G20" s="2436"/>
      <c r="H20" s="2440"/>
      <c r="I20" s="2439"/>
      <c r="J20" s="2439"/>
      <c r="K20" s="2439"/>
      <c r="L20" s="2439"/>
      <c r="M20" s="2439"/>
    </row>
    <row r="21" spans="1:13" s="288" customFormat="1" ht="24.75" customHeight="1" thickBot="1">
      <c r="A21" s="416" t="s">
        <v>517</v>
      </c>
      <c r="B21" s="417" t="s">
        <v>337</v>
      </c>
      <c r="C21" s="598" t="s">
        <v>737</v>
      </c>
      <c r="D21" s="1627" t="s">
        <v>521</v>
      </c>
      <c r="E21" s="2034">
        <f>94*1.03+0.66*2.6</f>
        <v>98.536</v>
      </c>
      <c r="F21" s="2035"/>
      <c r="G21" s="2436"/>
      <c r="H21" s="2440"/>
      <c r="I21" s="2439"/>
      <c r="J21" s="2439"/>
      <c r="K21" s="2439"/>
      <c r="L21" s="2439"/>
      <c r="M21" s="2439"/>
    </row>
    <row r="22" spans="1:13" s="288" customFormat="1" ht="24.75" customHeight="1" thickBot="1">
      <c r="A22" s="422" t="s">
        <v>518</v>
      </c>
      <c r="B22" s="419" t="s">
        <v>337</v>
      </c>
      <c r="C22" s="599" t="s">
        <v>738</v>
      </c>
      <c r="D22" s="1628"/>
      <c r="E22" s="2034">
        <f>135.7*1.03+0.98*2.6</f>
        <v>142.319</v>
      </c>
      <c r="F22" s="2035"/>
      <c r="G22" s="2436"/>
      <c r="H22" s="2440"/>
      <c r="I22" s="2439"/>
      <c r="J22" s="2439"/>
      <c r="K22" s="2439"/>
      <c r="L22" s="2439"/>
      <c r="M22" s="2439"/>
    </row>
    <row r="23" spans="1:13" s="288" customFormat="1" ht="24.75" customHeight="1" thickBot="1">
      <c r="A23" s="420" t="s">
        <v>519</v>
      </c>
      <c r="B23" s="421" t="s">
        <v>337</v>
      </c>
      <c r="C23" s="597" t="s">
        <v>739</v>
      </c>
      <c r="D23" s="2036"/>
      <c r="E23" s="2032">
        <f>177.5*1.03+1.31*2.6</f>
        <v>186.23100000000002</v>
      </c>
      <c r="F23" s="2033"/>
      <c r="G23" s="2437"/>
      <c r="H23" s="2440"/>
      <c r="I23" s="2439"/>
      <c r="J23" s="2439"/>
      <c r="K23" s="2439"/>
      <c r="L23" s="2439"/>
      <c r="M23" s="2439"/>
    </row>
    <row r="24" spans="1:13" s="43" customFormat="1" ht="16.5" thickBot="1">
      <c r="A24" s="73"/>
      <c r="B24" s="39"/>
      <c r="C24" s="40"/>
      <c r="D24" s="74"/>
      <c r="E24" s="75"/>
      <c r="F24" s="75"/>
      <c r="G24" s="75"/>
      <c r="H24" s="2441"/>
      <c r="I24" s="172"/>
      <c r="J24" s="172"/>
      <c r="K24" s="75"/>
      <c r="L24" s="75"/>
      <c r="M24" s="75"/>
    </row>
    <row r="25" spans="1:13" s="38" customFormat="1" ht="15.75" customHeight="1">
      <c r="A25" s="1637" t="s">
        <v>0</v>
      </c>
      <c r="B25" s="1637" t="s">
        <v>1</v>
      </c>
      <c r="C25" s="1637" t="s">
        <v>335</v>
      </c>
      <c r="D25" s="1637" t="s">
        <v>61</v>
      </c>
      <c r="E25" s="2045" t="s">
        <v>1239</v>
      </c>
      <c r="F25" s="2046"/>
      <c r="G25" s="2046"/>
      <c r="H25" s="2393"/>
      <c r="I25" s="2387"/>
      <c r="J25" s="2387"/>
      <c r="K25" s="2438"/>
      <c r="L25" s="2438"/>
      <c r="M25" s="2438"/>
    </row>
    <row r="26" spans="1:13" s="38" customFormat="1" ht="16.5" thickBot="1">
      <c r="A26" s="1638"/>
      <c r="B26" s="1638"/>
      <c r="C26" s="1638"/>
      <c r="D26" s="1638"/>
      <c r="E26" s="2043" t="s">
        <v>4</v>
      </c>
      <c r="F26" s="2044"/>
      <c r="G26" s="2044"/>
      <c r="H26" s="2393"/>
      <c r="I26" s="2387"/>
      <c r="J26" s="2387"/>
      <c r="K26" s="2387"/>
      <c r="L26" s="2387"/>
      <c r="M26" s="2387"/>
    </row>
    <row r="27" spans="1:13" s="38" customFormat="1" ht="36.75" customHeight="1" thickBot="1">
      <c r="A27" s="423" t="s">
        <v>522</v>
      </c>
      <c r="B27" s="424" t="s">
        <v>342</v>
      </c>
      <c r="C27" s="600" t="s">
        <v>740</v>
      </c>
      <c r="D27" s="2040" t="s">
        <v>516</v>
      </c>
      <c r="E27" s="2034">
        <f>111.8*1.03+0.54*2.6</f>
        <v>116.55799999999999</v>
      </c>
      <c r="F27" s="2035"/>
      <c r="G27" s="2436"/>
      <c r="H27" s="2440"/>
      <c r="I27" s="2439"/>
      <c r="J27" s="2439"/>
      <c r="K27" s="2439"/>
      <c r="L27" s="2439"/>
      <c r="M27" s="2439"/>
    </row>
    <row r="28" spans="1:13" s="38" customFormat="1" ht="36.75" thickBot="1">
      <c r="A28" s="425" t="s">
        <v>523</v>
      </c>
      <c r="B28" s="426" t="s">
        <v>342</v>
      </c>
      <c r="C28" s="601" t="s">
        <v>741</v>
      </c>
      <c r="D28" s="2041"/>
      <c r="E28" s="2034">
        <f>175.1*1.03+1.087*2.6</f>
        <v>183.1792</v>
      </c>
      <c r="F28" s="2035"/>
      <c r="G28" s="2436"/>
      <c r="H28" s="2440"/>
      <c r="I28" s="2439"/>
      <c r="J28" s="2439"/>
      <c r="K28" s="2439"/>
      <c r="L28" s="2439"/>
      <c r="M28" s="2439"/>
    </row>
    <row r="29" spans="1:13" s="38" customFormat="1" ht="36.75" thickBot="1">
      <c r="A29" s="425" t="s">
        <v>524</v>
      </c>
      <c r="B29" s="426" t="s">
        <v>342</v>
      </c>
      <c r="C29" s="601" t="s">
        <v>742</v>
      </c>
      <c r="D29" s="2041"/>
      <c r="E29" s="2034">
        <f>241.25*1.03+1.63*2.6</f>
        <v>252.7255</v>
      </c>
      <c r="F29" s="2035"/>
      <c r="G29" s="2436"/>
      <c r="H29" s="2440"/>
      <c r="I29" s="2439"/>
      <c r="J29" s="2439"/>
      <c r="K29" s="2439"/>
      <c r="L29" s="2439"/>
      <c r="M29" s="2439"/>
    </row>
    <row r="30" spans="1:13" s="38" customFormat="1" ht="35.25" customHeight="1" thickBot="1">
      <c r="A30" s="427" t="s">
        <v>525</v>
      </c>
      <c r="B30" s="428" t="s">
        <v>342</v>
      </c>
      <c r="C30" s="602" t="s">
        <v>743</v>
      </c>
      <c r="D30" s="2042"/>
      <c r="E30" s="2034">
        <f>307.6*1.03+1.043*2.6</f>
        <v>319.5398</v>
      </c>
      <c r="F30" s="2035"/>
      <c r="G30" s="2436"/>
      <c r="H30" s="2440"/>
      <c r="I30" s="2439"/>
      <c r="J30" s="2439"/>
      <c r="K30" s="2439"/>
      <c r="L30" s="2439"/>
      <c r="M30" s="2439"/>
    </row>
    <row r="31" spans="1:13" s="288" customFormat="1" ht="33.75" customHeight="1" thickBot="1">
      <c r="A31" s="416" t="s">
        <v>341</v>
      </c>
      <c r="B31" s="417" t="s">
        <v>342</v>
      </c>
      <c r="C31" s="600" t="s">
        <v>744</v>
      </c>
      <c r="D31" s="2037" t="s">
        <v>610</v>
      </c>
      <c r="E31" s="2034">
        <f>81*1.03+0.448*2.6</f>
        <v>84.5948</v>
      </c>
      <c r="F31" s="2035"/>
      <c r="G31" s="2436"/>
      <c r="H31" s="2440"/>
      <c r="I31" s="2439"/>
      <c r="J31" s="2439"/>
      <c r="K31" s="2439"/>
      <c r="L31" s="2439"/>
      <c r="M31" s="2439"/>
    </row>
    <row r="32" spans="1:13" s="288" customFormat="1" ht="34.5" customHeight="1" thickBot="1">
      <c r="A32" s="418" t="s">
        <v>343</v>
      </c>
      <c r="B32" s="419" t="s">
        <v>342</v>
      </c>
      <c r="C32" s="601" t="s">
        <v>745</v>
      </c>
      <c r="D32" s="2038"/>
      <c r="E32" s="2034">
        <f>126.8*1.03+0.896*2.6</f>
        <v>132.9336</v>
      </c>
      <c r="F32" s="2035"/>
      <c r="G32" s="2436"/>
      <c r="H32" s="2440"/>
      <c r="I32" s="2439"/>
      <c r="J32" s="2439"/>
      <c r="K32" s="2439"/>
      <c r="L32" s="2439"/>
      <c r="M32" s="2439"/>
    </row>
    <row r="33" spans="1:13" s="288" customFormat="1" ht="33.75" customHeight="1" thickBot="1">
      <c r="A33" s="418" t="s">
        <v>344</v>
      </c>
      <c r="B33" s="419" t="s">
        <v>342</v>
      </c>
      <c r="C33" s="601" t="s">
        <v>746</v>
      </c>
      <c r="D33" s="2038"/>
      <c r="E33" s="2034">
        <f>180.5*1.03+1.345*2.6</f>
        <v>189.41199999999998</v>
      </c>
      <c r="F33" s="2035"/>
      <c r="G33" s="2436"/>
      <c r="H33" s="2440"/>
      <c r="I33" s="2439"/>
      <c r="J33" s="2439"/>
      <c r="K33" s="2439"/>
      <c r="L33" s="2439"/>
      <c r="M33" s="2439"/>
    </row>
    <row r="34" spans="1:13" s="288" customFormat="1" ht="36" customHeight="1" thickBot="1">
      <c r="A34" s="420" t="s">
        <v>345</v>
      </c>
      <c r="B34" s="421" t="s">
        <v>342</v>
      </c>
      <c r="C34" s="603" t="s">
        <v>747</v>
      </c>
      <c r="D34" s="2039"/>
      <c r="E34" s="2034">
        <f>248*1.03+1.789*2.6</f>
        <v>260.0914</v>
      </c>
      <c r="F34" s="2035"/>
      <c r="G34" s="2436"/>
      <c r="H34" s="2440"/>
      <c r="I34" s="2439"/>
      <c r="J34" s="2439"/>
      <c r="K34" s="2439"/>
      <c r="L34" s="2439"/>
      <c r="M34" s="2439"/>
    </row>
    <row r="35" spans="1:13" s="288" customFormat="1" ht="34.5" customHeight="1" thickBot="1">
      <c r="A35" s="429" t="s">
        <v>523</v>
      </c>
      <c r="B35" s="430" t="s">
        <v>342</v>
      </c>
      <c r="C35" s="604" t="s">
        <v>748</v>
      </c>
      <c r="D35" s="1628" t="s">
        <v>520</v>
      </c>
      <c r="E35" s="2034">
        <f>90.61*1.03+0.59*2.6</f>
        <v>94.8623</v>
      </c>
      <c r="F35" s="2035"/>
      <c r="G35" s="2436"/>
      <c r="H35" s="2440"/>
      <c r="I35" s="2439"/>
      <c r="J35" s="2439"/>
      <c r="K35" s="2439"/>
      <c r="L35" s="2439"/>
      <c r="M35" s="2439"/>
    </row>
    <row r="36" spans="1:13" s="288" customFormat="1" ht="36" customHeight="1" thickBot="1">
      <c r="A36" s="418" t="s">
        <v>524</v>
      </c>
      <c r="B36" s="419" t="s">
        <v>342</v>
      </c>
      <c r="C36" s="605" t="s">
        <v>749</v>
      </c>
      <c r="D36" s="1628"/>
      <c r="E36" s="2034">
        <f>135*1.03+0.88*2.6</f>
        <v>141.33800000000002</v>
      </c>
      <c r="F36" s="2035"/>
      <c r="G36" s="2436"/>
      <c r="H36" s="2440"/>
      <c r="I36" s="2439"/>
      <c r="J36" s="2439"/>
      <c r="K36" s="2439"/>
      <c r="L36" s="2439"/>
      <c r="M36" s="2439"/>
    </row>
    <row r="37" spans="1:13" s="288" customFormat="1" ht="42" customHeight="1" thickBot="1">
      <c r="A37" s="420" t="s">
        <v>525</v>
      </c>
      <c r="B37" s="421" t="s">
        <v>342</v>
      </c>
      <c r="C37" s="603" t="s">
        <v>750</v>
      </c>
      <c r="D37" s="2036"/>
      <c r="E37" s="2034">
        <f>175*1.03+1.17*2.6</f>
        <v>183.292</v>
      </c>
      <c r="F37" s="2035"/>
      <c r="G37" s="2436"/>
      <c r="H37" s="2440"/>
      <c r="I37" s="2439"/>
      <c r="J37" s="2439"/>
      <c r="K37" s="2439"/>
      <c r="L37" s="2439"/>
      <c r="M37" s="2439"/>
    </row>
    <row r="38" spans="1:13" s="288" customFormat="1" ht="34.5" customHeight="1" thickBot="1">
      <c r="A38" s="429" t="s">
        <v>523</v>
      </c>
      <c r="B38" s="430" t="s">
        <v>342</v>
      </c>
      <c r="C38" s="606" t="s">
        <v>751</v>
      </c>
      <c r="D38" s="1628" t="s">
        <v>521</v>
      </c>
      <c r="E38" s="2034">
        <f>80*1.03+0.42*2.6</f>
        <v>83.492</v>
      </c>
      <c r="F38" s="2035"/>
      <c r="G38" s="2436"/>
      <c r="H38" s="2440"/>
      <c r="I38" s="2439"/>
      <c r="J38" s="2439"/>
      <c r="K38" s="2439"/>
      <c r="L38" s="2439"/>
      <c r="M38" s="2439"/>
    </row>
    <row r="39" spans="1:13" s="288" customFormat="1" ht="36" customHeight="1" thickBot="1">
      <c r="A39" s="418" t="s">
        <v>524</v>
      </c>
      <c r="B39" s="419" t="s">
        <v>342</v>
      </c>
      <c r="C39" s="605" t="s">
        <v>752</v>
      </c>
      <c r="D39" s="1628"/>
      <c r="E39" s="2034">
        <f>111.5*1.03+0.63*2.6</f>
        <v>116.483</v>
      </c>
      <c r="F39" s="2035"/>
      <c r="G39" s="2436"/>
      <c r="H39" s="2440"/>
      <c r="I39" s="2439"/>
      <c r="J39" s="2439"/>
      <c r="K39" s="2439"/>
      <c r="L39" s="2439"/>
      <c r="M39" s="2439"/>
    </row>
    <row r="40" spans="1:13" s="288" customFormat="1" ht="42" customHeight="1" thickBot="1">
      <c r="A40" s="420" t="s">
        <v>525</v>
      </c>
      <c r="B40" s="421" t="s">
        <v>342</v>
      </c>
      <c r="C40" s="603" t="s">
        <v>753</v>
      </c>
      <c r="D40" s="2036"/>
      <c r="E40" s="2032">
        <f>143.5*1.03+0.84*2.6</f>
        <v>149.989</v>
      </c>
      <c r="F40" s="2033"/>
      <c r="G40" s="2437"/>
      <c r="H40" s="2440"/>
      <c r="I40" s="2439"/>
      <c r="J40" s="2439"/>
      <c r="K40" s="2439"/>
      <c r="L40" s="2439"/>
      <c r="M40" s="2439"/>
    </row>
    <row r="41" spans="2:13" s="43" customFormat="1" ht="12.75">
      <c r="B41" s="174"/>
      <c r="E41" s="272"/>
      <c r="F41" s="272"/>
      <c r="G41" s="272"/>
      <c r="H41" s="272"/>
      <c r="I41" s="272"/>
      <c r="J41" s="272"/>
      <c r="K41" s="272"/>
      <c r="L41" s="272"/>
      <c r="M41" s="272"/>
    </row>
    <row r="42" spans="1:14" s="43" customFormat="1" ht="21" customHeight="1">
      <c r="A42" s="2018" t="s">
        <v>346</v>
      </c>
      <c r="B42" s="2019"/>
      <c r="C42" s="2019"/>
      <c r="D42" s="2019"/>
      <c r="E42" s="2019"/>
      <c r="F42" s="2019"/>
      <c r="G42" s="2019"/>
      <c r="H42" s="2019"/>
      <c r="I42" s="2019"/>
      <c r="J42" s="2019"/>
      <c r="K42" s="2019"/>
      <c r="L42" s="2019"/>
      <c r="M42" s="272"/>
      <c r="N42" s="286"/>
    </row>
    <row r="43" spans="1:14" s="43" customFormat="1" ht="15.75">
      <c r="A43" s="173"/>
      <c r="B43" s="177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272"/>
      <c r="N43" s="286"/>
    </row>
    <row r="44" spans="1:13" s="43" customFormat="1" ht="20.25">
      <c r="A44" s="1977" t="s">
        <v>325</v>
      </c>
      <c r="B44" s="1977"/>
      <c r="C44" s="1977"/>
      <c r="D44" s="1977"/>
      <c r="E44" s="1977"/>
      <c r="F44" s="1977"/>
      <c r="G44" s="1977"/>
      <c r="H44" s="1977"/>
      <c r="I44" s="1977"/>
      <c r="J44" s="1977"/>
      <c r="K44" s="1977"/>
      <c r="L44" s="1977"/>
      <c r="M44" s="1977"/>
    </row>
    <row r="45" spans="1:13" s="43" customFormat="1" ht="18.75" thickBot="1">
      <c r="A45" s="16"/>
      <c r="B45" s="17"/>
      <c r="C45" s="18"/>
      <c r="D45" s="18"/>
      <c r="E45" s="18"/>
      <c r="F45" s="18"/>
      <c r="G45" s="18"/>
      <c r="H45" s="18"/>
      <c r="I45" s="18"/>
      <c r="J45" s="19"/>
      <c r="K45" s="20"/>
      <c r="L45" s="21"/>
      <c r="M45" s="19"/>
    </row>
    <row r="46" spans="1:14" s="43" customFormat="1" ht="12.75" customHeight="1">
      <c r="A46" s="2020" t="s">
        <v>0</v>
      </c>
      <c r="B46" s="2022" t="s">
        <v>1</v>
      </c>
      <c r="C46" s="2024" t="s">
        <v>347</v>
      </c>
      <c r="D46" s="2026" t="s">
        <v>313</v>
      </c>
      <c r="E46" s="2028" t="s">
        <v>11</v>
      </c>
      <c r="F46" s="2029"/>
      <c r="G46" s="2029"/>
      <c r="H46" s="2448"/>
      <c r="I46" s="2446"/>
      <c r="J46" s="2446"/>
      <c r="K46" s="2446"/>
      <c r="L46" s="2446"/>
      <c r="M46" s="2446"/>
      <c r="N46" s="431"/>
    </row>
    <row r="47" spans="1:14" s="43" customFormat="1" ht="13.5" customHeight="1" thickBot="1">
      <c r="A47" s="2021"/>
      <c r="B47" s="2023"/>
      <c r="C47" s="2025"/>
      <c r="D47" s="2027"/>
      <c r="E47" s="2030"/>
      <c r="F47" s="2031"/>
      <c r="G47" s="2031"/>
      <c r="H47" s="2448"/>
      <c r="I47" s="2446"/>
      <c r="J47" s="2446"/>
      <c r="K47" s="2446"/>
      <c r="L47" s="2446"/>
      <c r="M47" s="2446"/>
      <c r="N47" s="431"/>
    </row>
    <row r="48" spans="1:18" s="38" customFormat="1" ht="33" customHeight="1">
      <c r="A48" s="663" t="s">
        <v>1227</v>
      </c>
      <c r="B48" s="1460" t="s">
        <v>348</v>
      </c>
      <c r="C48" s="580" t="s">
        <v>324</v>
      </c>
      <c r="D48" s="1461">
        <v>300</v>
      </c>
      <c r="E48" s="2012">
        <f>O48*1.06*1.04*1.05</f>
        <v>23.497656000000003</v>
      </c>
      <c r="F48" s="2013"/>
      <c r="G48" s="2442"/>
      <c r="H48" s="2058"/>
      <c r="I48" s="2447"/>
      <c r="J48" s="2447"/>
      <c r="K48" s="2447"/>
      <c r="L48" s="2447"/>
      <c r="M48" s="2447"/>
      <c r="N48" s="1462"/>
      <c r="O48" s="1462">
        <v>20.3</v>
      </c>
      <c r="P48" s="1463">
        <v>18.99</v>
      </c>
      <c r="Q48" s="38">
        <v>18.34</v>
      </c>
      <c r="R48" s="38">
        <v>17.68</v>
      </c>
    </row>
    <row r="49" spans="1:13" s="127" customFormat="1" ht="42.75" customHeight="1">
      <c r="A49" s="670" t="s">
        <v>796</v>
      </c>
      <c r="B49" s="664" t="s">
        <v>348</v>
      </c>
      <c r="C49" s="665" t="s">
        <v>324</v>
      </c>
      <c r="D49" s="666">
        <v>500</v>
      </c>
      <c r="E49" s="2016">
        <f>24.51*1.06*1.04*1.05</f>
        <v>28.370815200000006</v>
      </c>
      <c r="F49" s="2017"/>
      <c r="G49" s="2443"/>
      <c r="H49" s="2058"/>
      <c r="I49" s="2447"/>
      <c r="J49" s="2447"/>
      <c r="K49" s="2447"/>
      <c r="L49" s="2447"/>
      <c r="M49" s="2447"/>
    </row>
    <row r="50" spans="1:13" s="127" customFormat="1" ht="42.75" customHeight="1" thickBot="1">
      <c r="A50" s="558" t="s">
        <v>797</v>
      </c>
      <c r="B50" s="667" t="s">
        <v>348</v>
      </c>
      <c r="C50" s="668" t="s">
        <v>324</v>
      </c>
      <c r="D50" s="635">
        <v>800</v>
      </c>
      <c r="E50" s="2014">
        <f>33.1*1.06*1.04*1.05</f>
        <v>38.31391200000001</v>
      </c>
      <c r="F50" s="2015"/>
      <c r="G50" s="2444"/>
      <c r="H50" s="2058"/>
      <c r="I50" s="2447"/>
      <c r="J50" s="2447"/>
      <c r="K50" s="2447"/>
      <c r="L50" s="2447"/>
      <c r="M50" s="2447"/>
    </row>
    <row r="51" spans="1:13" s="43" customFormat="1" ht="36">
      <c r="A51" s="663" t="s">
        <v>798</v>
      </c>
      <c r="B51" s="669" t="s">
        <v>799</v>
      </c>
      <c r="C51" s="477"/>
      <c r="D51" s="477">
        <v>500</v>
      </c>
      <c r="E51" s="2016">
        <f>25.74*1.06*1.04*1.05</f>
        <v>29.7945648</v>
      </c>
      <c r="F51" s="2017"/>
      <c r="G51" s="2443"/>
      <c r="H51" s="2058"/>
      <c r="I51" s="2447"/>
      <c r="J51" s="2447"/>
      <c r="K51" s="2447"/>
      <c r="L51" s="2447"/>
      <c r="M51" s="2447"/>
    </row>
    <row r="52" spans="1:13" s="43" customFormat="1" ht="36">
      <c r="A52" s="670" t="s">
        <v>800</v>
      </c>
      <c r="B52" s="671" t="s">
        <v>799</v>
      </c>
      <c r="C52" s="482"/>
      <c r="D52" s="482">
        <v>800</v>
      </c>
      <c r="E52" s="2016">
        <f>30.54*1.06*1.04*1.05</f>
        <v>35.3506608</v>
      </c>
      <c r="F52" s="2017"/>
      <c r="G52" s="2443"/>
      <c r="H52" s="2058"/>
      <c r="I52" s="2447"/>
      <c r="J52" s="2447"/>
      <c r="K52" s="2447"/>
      <c r="L52" s="2447"/>
      <c r="M52" s="2447"/>
    </row>
    <row r="53" spans="1:13" s="43" customFormat="1" ht="36">
      <c r="A53" s="557" t="s">
        <v>801</v>
      </c>
      <c r="B53" s="671" t="s">
        <v>802</v>
      </c>
      <c r="C53" s="672"/>
      <c r="D53" s="672">
        <v>500</v>
      </c>
      <c r="E53" s="2016">
        <f>1650*1.06*1.04*1.05</f>
        <v>1909.9080000000001</v>
      </c>
      <c r="F53" s="2017"/>
      <c r="G53" s="2443"/>
      <c r="H53" s="2058"/>
      <c r="I53" s="2447"/>
      <c r="J53" s="2447"/>
      <c r="K53" s="2447"/>
      <c r="L53" s="2447"/>
      <c r="M53" s="2447"/>
    </row>
    <row r="54" spans="1:13" s="43" customFormat="1" ht="36.75" thickBot="1">
      <c r="A54" s="673" t="s">
        <v>803</v>
      </c>
      <c r="B54" s="674" t="s">
        <v>802</v>
      </c>
      <c r="C54" s="478"/>
      <c r="D54" s="478">
        <v>800</v>
      </c>
      <c r="E54" s="2056">
        <f>1980*1.06*1.04*1.05</f>
        <v>2291.8896000000004</v>
      </c>
      <c r="F54" s="2057"/>
      <c r="G54" s="2445"/>
      <c r="H54" s="2058"/>
      <c r="I54" s="2447"/>
      <c r="J54" s="2447"/>
      <c r="K54" s="2447"/>
      <c r="L54" s="2447"/>
      <c r="M54" s="2447"/>
    </row>
    <row r="55" spans="1:13" s="43" customFormat="1" ht="18">
      <c r="A55" s="663" t="s">
        <v>804</v>
      </c>
      <c r="B55" s="669" t="s">
        <v>805</v>
      </c>
      <c r="C55" s="477" t="s">
        <v>806</v>
      </c>
      <c r="D55" s="477"/>
      <c r="E55" s="2012">
        <f>9.27*1.06*1.04*1.05</f>
        <v>10.7302104</v>
      </c>
      <c r="F55" s="2013"/>
      <c r="G55" s="2442"/>
      <c r="H55" s="2058"/>
      <c r="I55" s="2447"/>
      <c r="J55" s="2447"/>
      <c r="K55" s="2447"/>
      <c r="L55" s="2447"/>
      <c r="M55" s="2447"/>
    </row>
    <row r="56" spans="1:13" s="43" customFormat="1" ht="18.75" thickBot="1">
      <c r="A56" s="673" t="s">
        <v>807</v>
      </c>
      <c r="B56" s="675" t="s">
        <v>805</v>
      </c>
      <c r="C56" s="478" t="s">
        <v>808</v>
      </c>
      <c r="D56" s="478"/>
      <c r="E56" s="2014">
        <f>9.27*1.06*1.04*1.05</f>
        <v>10.7302104</v>
      </c>
      <c r="F56" s="2015"/>
      <c r="G56" s="2444"/>
      <c r="H56" s="2058"/>
      <c r="I56" s="2447"/>
      <c r="J56" s="2447"/>
      <c r="K56" s="2447"/>
      <c r="L56" s="2447"/>
      <c r="M56" s="2447"/>
    </row>
  </sheetData>
  <sheetProtection/>
  <mergeCells count="152">
    <mergeCell ref="A4:G4"/>
    <mergeCell ref="A5:G5"/>
    <mergeCell ref="C1:F3"/>
    <mergeCell ref="E55:G55"/>
    <mergeCell ref="H55:J55"/>
    <mergeCell ref="K55:M55"/>
    <mergeCell ref="E56:G56"/>
    <mergeCell ref="H56:J56"/>
    <mergeCell ref="K56:M56"/>
    <mergeCell ref="E53:G53"/>
    <mergeCell ref="H53:J53"/>
    <mergeCell ref="K53:M53"/>
    <mergeCell ref="E54:G54"/>
    <mergeCell ref="H54:J54"/>
    <mergeCell ref="K54:M54"/>
    <mergeCell ref="E51:G51"/>
    <mergeCell ref="H51:J51"/>
    <mergeCell ref="K51:M51"/>
    <mergeCell ref="E52:G52"/>
    <mergeCell ref="H52:J52"/>
    <mergeCell ref="K52:M52"/>
    <mergeCell ref="A6:M6"/>
    <mergeCell ref="A8:A9"/>
    <mergeCell ref="B8:B9"/>
    <mergeCell ref="C8:C9"/>
    <mergeCell ref="D8:D9"/>
    <mergeCell ref="E8:G8"/>
    <mergeCell ref="H8:J8"/>
    <mergeCell ref="K8:M8"/>
    <mergeCell ref="K10:M10"/>
    <mergeCell ref="E11:G11"/>
    <mergeCell ref="H11:J11"/>
    <mergeCell ref="K11:M11"/>
    <mergeCell ref="E9:G9"/>
    <mergeCell ref="H9:J9"/>
    <mergeCell ref="K9:M9"/>
    <mergeCell ref="D14:D17"/>
    <mergeCell ref="E14:G14"/>
    <mergeCell ref="H14:J14"/>
    <mergeCell ref="K14:M14"/>
    <mergeCell ref="E12:G12"/>
    <mergeCell ref="H12:J12"/>
    <mergeCell ref="K12:M12"/>
    <mergeCell ref="D10:D13"/>
    <mergeCell ref="E10:G10"/>
    <mergeCell ref="H10:J10"/>
    <mergeCell ref="E15:G15"/>
    <mergeCell ref="H15:J15"/>
    <mergeCell ref="K15:M15"/>
    <mergeCell ref="E13:G13"/>
    <mergeCell ref="H13:J13"/>
    <mergeCell ref="K13:M13"/>
    <mergeCell ref="E16:G16"/>
    <mergeCell ref="H16:J16"/>
    <mergeCell ref="K16:M16"/>
    <mergeCell ref="E17:G17"/>
    <mergeCell ref="H17:J17"/>
    <mergeCell ref="K17:M17"/>
    <mergeCell ref="E20:G20"/>
    <mergeCell ref="H20:J20"/>
    <mergeCell ref="K20:M20"/>
    <mergeCell ref="D18:D20"/>
    <mergeCell ref="E18:G18"/>
    <mergeCell ref="H18:J18"/>
    <mergeCell ref="K18:M18"/>
    <mergeCell ref="E19:G19"/>
    <mergeCell ref="H19:J19"/>
    <mergeCell ref="K19:M19"/>
    <mergeCell ref="E23:G23"/>
    <mergeCell ref="H23:J23"/>
    <mergeCell ref="K23:M23"/>
    <mergeCell ref="D21:D23"/>
    <mergeCell ref="E21:G21"/>
    <mergeCell ref="H21:J21"/>
    <mergeCell ref="K21:M21"/>
    <mergeCell ref="E22:G22"/>
    <mergeCell ref="H22:J22"/>
    <mergeCell ref="K22:M22"/>
    <mergeCell ref="A25:A26"/>
    <mergeCell ref="B25:B26"/>
    <mergeCell ref="C25:C26"/>
    <mergeCell ref="D25:D26"/>
    <mergeCell ref="E25:G25"/>
    <mergeCell ref="H25:J25"/>
    <mergeCell ref="K27:M27"/>
    <mergeCell ref="E28:G28"/>
    <mergeCell ref="H28:J28"/>
    <mergeCell ref="K28:M28"/>
    <mergeCell ref="K25:M25"/>
    <mergeCell ref="E26:G26"/>
    <mergeCell ref="H26:J26"/>
    <mergeCell ref="K26:M26"/>
    <mergeCell ref="D31:D34"/>
    <mergeCell ref="E31:G31"/>
    <mergeCell ref="H31:J31"/>
    <mergeCell ref="K31:M31"/>
    <mergeCell ref="E29:G29"/>
    <mergeCell ref="H29:J29"/>
    <mergeCell ref="K29:M29"/>
    <mergeCell ref="D27:D30"/>
    <mergeCell ref="E27:G27"/>
    <mergeCell ref="H27:J27"/>
    <mergeCell ref="E32:G32"/>
    <mergeCell ref="H32:J32"/>
    <mergeCell ref="K32:M32"/>
    <mergeCell ref="E30:G30"/>
    <mergeCell ref="H30:J30"/>
    <mergeCell ref="K30:M30"/>
    <mergeCell ref="E33:G33"/>
    <mergeCell ref="H33:J33"/>
    <mergeCell ref="K33:M33"/>
    <mergeCell ref="E34:G34"/>
    <mergeCell ref="H34:J34"/>
    <mergeCell ref="K34:M34"/>
    <mergeCell ref="D35:D37"/>
    <mergeCell ref="E35:G35"/>
    <mergeCell ref="H35:J35"/>
    <mergeCell ref="K35:M35"/>
    <mergeCell ref="E36:G36"/>
    <mergeCell ref="H36:J36"/>
    <mergeCell ref="K36:M36"/>
    <mergeCell ref="E37:G37"/>
    <mergeCell ref="H37:J37"/>
    <mergeCell ref="K37:M37"/>
    <mergeCell ref="D38:D40"/>
    <mergeCell ref="E38:G38"/>
    <mergeCell ref="H38:J38"/>
    <mergeCell ref="K38:M38"/>
    <mergeCell ref="E39:G39"/>
    <mergeCell ref="H39:J39"/>
    <mergeCell ref="K39:M39"/>
    <mergeCell ref="E46:G47"/>
    <mergeCell ref="H46:J47"/>
    <mergeCell ref="K46:M47"/>
    <mergeCell ref="E40:G40"/>
    <mergeCell ref="H40:J40"/>
    <mergeCell ref="K40:M40"/>
    <mergeCell ref="E49:G49"/>
    <mergeCell ref="H49:J49"/>
    <mergeCell ref="K49:M49"/>
    <mergeCell ref="A42:L42"/>
    <mergeCell ref="A44:M44"/>
    <mergeCell ref="A46:A47"/>
    <mergeCell ref="B46:B47"/>
    <mergeCell ref="C46:C47"/>
    <mergeCell ref="D46:D47"/>
    <mergeCell ref="E48:G48"/>
    <mergeCell ref="H48:J48"/>
    <mergeCell ref="K48:M48"/>
    <mergeCell ref="E50:G50"/>
    <mergeCell ref="H50:J50"/>
    <mergeCell ref="K50:M50"/>
  </mergeCells>
  <printOptions/>
  <pageMargins left="0.1968503937007874" right="0.2362204724409449" top="0.31496062992125984" bottom="0.35433070866141736" header="0.15748031496062992" footer="0.1968503937007874"/>
  <pageSetup fitToHeight="2" fitToWidth="1" horizontalDpi="600" verticalDpi="600" orientation="landscape" paperSize="9" scale="51" r:id="rId2"/>
  <headerFooter>
    <oddHeader>&amp;LДействителен с 02.08.2012</oddHeader>
    <oddFooter>&amp;C&amp;F&amp;A&amp;R&amp;D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Трудяга</dc:creator>
  <cp:keywords/>
  <dc:description/>
  <cp:lastModifiedBy>Любовь</cp:lastModifiedBy>
  <cp:lastPrinted>2012-08-07T19:01:26Z</cp:lastPrinted>
  <dcterms:created xsi:type="dcterms:W3CDTF">2005-03-30T05:37:32Z</dcterms:created>
  <dcterms:modified xsi:type="dcterms:W3CDTF">2012-08-07T20:02:35Z</dcterms:modified>
  <cp:category/>
  <cp:version/>
  <cp:contentType/>
  <cp:contentStatus/>
</cp:coreProperties>
</file>